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5655" windowHeight="2325" activeTab="5"/>
  </bookViews>
  <sheets>
    <sheet name="бюжет" sheetId="1" r:id="rId1"/>
    <sheet name="інші" sheetId="2" r:id="rId2"/>
    <sheet name="населення" sheetId="3" r:id="rId3"/>
    <sheet name="населення опалення" sheetId="4" r:id="rId4"/>
    <sheet name="гаряча вода інші" sheetId="5" r:id="rId5"/>
    <sheet name="релігійні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0">'бюжет'!$A$1:$O$50</definedName>
    <definedName name="_xlnm.Print_Area" localSheetId="4">'гаряча вода інші'!$A$1:$S$26</definedName>
    <definedName name="_xlnm.Print_Area" localSheetId="1">'інші'!$A$1:$M$51</definedName>
    <definedName name="_xlnm.Print_Area" localSheetId="2">'населення'!$A$1:$M$50</definedName>
  </definedNames>
  <calcPr fullCalcOnLoad="1"/>
</workbook>
</file>

<file path=xl/sharedStrings.xml><?xml version="1.0" encoding="utf-8"?>
<sst xmlns="http://schemas.openxmlformats.org/spreadsheetml/2006/main" count="446" uniqueCount="155">
  <si>
    <t>Структура тарифу на теплову енергію для потреб бюджетних установ</t>
  </si>
  <si>
    <t>КП "Прилукитепловодопостачання"</t>
  </si>
  <si>
    <t>Без ПДВ</t>
  </si>
  <si>
    <t xml:space="preserve">№ з/п </t>
  </si>
  <si>
    <t xml:space="preserve">Найменування показників </t>
  </si>
  <si>
    <t>Виробництво теплової енергії</t>
  </si>
  <si>
    <t>Транспортування теплової енергії</t>
  </si>
  <si>
    <t>Постачання теплової енергії</t>
  </si>
  <si>
    <t>тис. грн на рік</t>
  </si>
  <si>
    <t>грн/Гкал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</si>
  <si>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</si>
  <si>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</si>
  <si>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</si>
  <si>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</si>
  <si>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 xml:space="preserve">витрати на паливо </t>
  </si>
  <si>
    <t>1.1.2</t>
  </si>
  <si>
    <t>витрати на електроенергію</t>
  </si>
  <si>
    <t>1.1.3</t>
  </si>
  <si>
    <t>собівартість теплової енергії власних ТЕЦ, ТЕС, КГУ</t>
  </si>
  <si>
    <t>1.1.4</t>
  </si>
  <si>
    <t>витрати на покупну теплову енергію</t>
  </si>
  <si>
    <t>1.1.5</t>
  </si>
  <si>
    <t xml:space="preserve">транспортування теплової енергії тепловими мережами інших підприємств </t>
  </si>
  <si>
    <t>1.1.6</t>
  </si>
  <si>
    <t xml:space="preserve">вода для технологічних потреб та водовідведення </t>
  </si>
  <si>
    <t>1.1.7</t>
  </si>
  <si>
    <t xml:space="preserve">матеріали, запасні частини та інші матеріальні ресурси </t>
  </si>
  <si>
    <t>1.2</t>
  </si>
  <si>
    <t xml:space="preserve">прямі витрати на оплату праці з відрахуваннями на соціальні заходи </t>
  </si>
  <si>
    <t>1.3</t>
  </si>
  <si>
    <t xml:space="preserve">інші прямі витрати, у т. ч.: </t>
  </si>
  <si>
    <t>1.3.1</t>
  </si>
  <si>
    <t xml:space="preserve">амортизаційні відрахування </t>
  </si>
  <si>
    <t>1.3.2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</si>
  <si>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</si>
  <si>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</si>
  <si>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</si>
  <si>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</si>
  <si>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 xml:space="preserve">витрати на оплату праці з відрахуваннями на соціальні заходи </t>
  </si>
  <si>
    <t>1.4.2</t>
  </si>
  <si>
    <t>1.4.3</t>
  </si>
  <si>
    <t xml:space="preserve">інші витрати </t>
  </si>
  <si>
    <t>2</t>
  </si>
  <si>
    <t xml:space="preserve">Адміністративні витрати, у т. ч.: </t>
  </si>
  <si>
    <t>2.1</t>
  </si>
  <si>
    <t>2.2</t>
  </si>
  <si>
    <t>2.3</t>
  </si>
  <si>
    <t>Витрати на збут</t>
  </si>
  <si>
    <t>Інші операційні витрати</t>
  </si>
  <si>
    <t xml:space="preserve">Фінансові витрати </t>
  </si>
  <si>
    <t>Повна собівартість</t>
  </si>
  <si>
    <t>Витрати на покриття втрат</t>
  </si>
  <si>
    <t xml:space="preserve">Розрахунковий прибуток, у т. ч.: </t>
  </si>
  <si>
    <t>8.1</t>
  </si>
  <si>
    <t xml:space="preserve">податок на прибуток </t>
  </si>
  <si>
    <t>8.2</t>
  </si>
  <si>
    <t xml:space="preserve">резервний фонд (капітал) та дивіденди </t>
  </si>
  <si>
    <t>8.3</t>
  </si>
  <si>
    <t xml:space="preserve">на розвиток виробництва (виробничі інвестиції) </t>
  </si>
  <si>
    <t>8.4</t>
  </si>
  <si>
    <t>інше використання прибутку (прибуток у тарифах ТЕЦ, ТЕС, КГУ)</t>
  </si>
  <si>
    <t>Вартість  теплової енергії за відповідним тарифом</t>
  </si>
  <si>
    <t>Тариф на теплову енергію, грн/Гкал</t>
  </si>
  <si>
    <t xml:space="preserve">Обсяг реалізації теплової енергії власним споживачам, Гкал </t>
  </si>
  <si>
    <t>Рівень рентабельності, %</t>
  </si>
  <si>
    <t>Структура тарифу на теплову енергію для потреб інших споживачів</t>
  </si>
  <si>
    <t>Додаток 1</t>
  </si>
  <si>
    <t>Структура тарифу на теплову енергію для потреб населення</t>
  </si>
  <si>
    <t>Додаток 2</t>
  </si>
  <si>
    <t>Структура одноставкових тарифів на послуги з централізованого опалення та централізованого постачання гарячої води, що надаються населенню</t>
  </si>
  <si>
    <t>№ з/п</t>
  </si>
  <si>
    <t>Назва показника</t>
  </si>
  <si>
    <t xml:space="preserve">Послуга з централізованого опалення </t>
  </si>
  <si>
    <t>Послуга з централізованого постачання гарячої води</t>
  </si>
  <si>
    <t xml:space="preserve"> для абонентів житлових будинків з будинковими та квартирними приладами обліку теплової енергії</t>
  </si>
  <si>
    <t xml:space="preserve"> для абонентів житлових будинків без будинкових та квартирних приладів обліку теплової енергії</t>
  </si>
  <si>
    <t xml:space="preserve">Собівартість власної теплової енергії, врахована у встановлених тарифах на теплову енергію для потреб населення </t>
  </si>
  <si>
    <t>Витрати на утримання абонентської служби,                          усього, у т. ч.:</t>
  </si>
  <si>
    <t xml:space="preserve"> 2.1</t>
  </si>
  <si>
    <t xml:space="preserve">витрати на оплату праці </t>
  </si>
  <si>
    <t xml:space="preserve"> 2.2</t>
  </si>
  <si>
    <t xml:space="preserve">внески на соціальні заходи </t>
  </si>
  <si>
    <t xml:space="preserve"> 2.3</t>
  </si>
  <si>
    <t>інші витрати абонентської служби</t>
  </si>
  <si>
    <t>x</t>
  </si>
  <si>
    <t>Витрати на придбання води на послуги з централізованого постачання гарячої води</t>
  </si>
  <si>
    <t>Решта витрат, крім послуг банку</t>
  </si>
  <si>
    <t>Собівартість послуг без урахування послуг банку</t>
  </si>
  <si>
    <t>Розрахунковий прибуток, усього, у т. ч.:</t>
  </si>
  <si>
    <t xml:space="preserve"> 7.1</t>
  </si>
  <si>
    <t>прибуток у тарифі на теплову енергію для потреб населення</t>
  </si>
  <si>
    <t xml:space="preserve"> 7.2</t>
  </si>
  <si>
    <t>плановий прибуток на послугу, усього, у т. ч.:</t>
  </si>
  <si>
    <t>чистий прибуток</t>
  </si>
  <si>
    <t>податок на прибуток</t>
  </si>
  <si>
    <t>Послуги банку</t>
  </si>
  <si>
    <t>Повна планова собівартість послуг з урахуванням послуг банку</t>
  </si>
  <si>
    <t>Вартість послуг</t>
  </si>
  <si>
    <t>Плановані тарифи на послуги, у т. ч. на послугу з централізованого опалення:</t>
  </si>
  <si>
    <t xml:space="preserve"> 11.1</t>
  </si>
  <si>
    <t>вартість теплової енергії</t>
  </si>
  <si>
    <t xml:space="preserve"> 11.2</t>
  </si>
  <si>
    <t>решта складових тарифу</t>
  </si>
  <si>
    <t>Плановані тарифи на послуги з ПДВ</t>
  </si>
  <si>
    <t>Планований тариф на послугу з централізованого опалення, грн/м.кв за місяць протягом опалювального періоду, з ПДВ</t>
  </si>
  <si>
    <t>х</t>
  </si>
  <si>
    <t xml:space="preserve"> Планована тривалість опалювального періоду, діб</t>
  </si>
  <si>
    <t xml:space="preserve">Структура тарифів на послугу з централізованого постачання гарячої води </t>
  </si>
  <si>
    <t>Найменування показників</t>
  </si>
  <si>
    <t>Усього на послугу з централізованого  постачання гарячої води:</t>
  </si>
  <si>
    <t>У тому числі:</t>
  </si>
  <si>
    <t xml:space="preserve"> для потреб управителів багатоквартирних будинків</t>
  </si>
  <si>
    <t>для потреб бюджетних установ</t>
  </si>
  <si>
    <t>для потреб інших споживачів</t>
  </si>
  <si>
    <t>для потреб релігійних організацій</t>
  </si>
  <si>
    <t>з рушникосушильниками</t>
  </si>
  <si>
    <t>без рушникосушильників</t>
  </si>
  <si>
    <t>тис. грн.</t>
  </si>
  <si>
    <t>тис. грн</t>
  </si>
  <si>
    <t>грн/куб.м</t>
  </si>
  <si>
    <t>1.</t>
  </si>
  <si>
    <t>Собівартість власної теплової енергії, врахована у встановлених тарифах на теплову енергію</t>
  </si>
  <si>
    <t>2.</t>
  </si>
  <si>
    <t>Витрати на придбання води для послуги з гарячого водопостачання</t>
  </si>
  <si>
    <t>3.</t>
  </si>
  <si>
    <t>Розрахунковий прибуток, 
усього, у т.ч.:</t>
  </si>
  <si>
    <t>3.1.</t>
  </si>
  <si>
    <t>3.2.</t>
  </si>
  <si>
    <t>4.</t>
  </si>
  <si>
    <t>Усього витрат</t>
  </si>
  <si>
    <t>5.</t>
  </si>
  <si>
    <t>до рішення виконкому</t>
  </si>
  <si>
    <t>Додаток  3</t>
  </si>
  <si>
    <t>Витрати  з проведення періодичної повірки, обслуговування і ремонту будинкових і квартирних засобів обліку, у тому числі їх демонтажу, транспортування та монтажу після повірки</t>
  </si>
  <si>
    <t xml:space="preserve">Додаток 6  </t>
  </si>
  <si>
    <t>Плановані тарифи на послуги без ПДВ</t>
  </si>
  <si>
    <t>Планові тарифи на послуги з ПДВ</t>
  </si>
  <si>
    <t>Додаток  4</t>
  </si>
  <si>
    <t>Структура тарифу на теплову енергію для потреб  релігійних організацій</t>
  </si>
  <si>
    <t>Теплова енергія всього</t>
  </si>
  <si>
    <t>Директор КП "Прилукитепловодопостачання"</t>
  </si>
  <si>
    <t>А.А. Гавриш</t>
  </si>
  <si>
    <t>Начальник ПЕВ</t>
  </si>
  <si>
    <t>С.В. Тарасенко</t>
  </si>
  <si>
    <t xml:space="preserve">Загальновиробничі витрати, у т. ч.: </t>
  </si>
  <si>
    <t>за умови підключення рушникосушильників до системи гарячого водопостачання</t>
  </si>
  <si>
    <t>за умови відсутності рушникосушильників</t>
  </si>
  <si>
    <r>
      <t>грн/м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на рік</t>
    </r>
  </si>
  <si>
    <r>
      <t>грн/м</t>
    </r>
    <r>
      <rPr>
        <vertAlign val="superscript"/>
        <sz val="18"/>
        <color indexed="8"/>
        <rFont val="Times New Roman"/>
        <family val="1"/>
      </rPr>
      <t>3</t>
    </r>
  </si>
  <si>
    <t>Додаток 5</t>
  </si>
  <si>
    <t xml:space="preserve">від 03.10.2017 № 335                      </t>
  </si>
  <si>
    <t>від 03.10.2017  № 335</t>
  </si>
  <si>
    <t>від  03.10.2017  № 335</t>
  </si>
  <si>
    <t>до рішення виконкому    від 03.10.2017  №  335</t>
  </si>
  <si>
    <t>до рішення виконкому                від 03.10.2017    № 335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</si>
</sst>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_(* #,##0.00_);_(* \(#,##0.00\);_(* &quot;-&quot;??_);_(@_)"/>
    <numFmt numFmtId="174" formatCode="0.0"/>
    <numFmt numFmtId="175" formatCode="0.00000000"/>
    <numFmt numFmtId="176" formatCode="0.000"/>
    <numFmt numFmtId="177" formatCode="0.000000"/>
    <numFmt numFmtId="178" formatCode="#,##0.000"/>
    <numFmt numFmtId="179" formatCode="#,##0.0"/>
    <numFmt numFmtId="180" formatCode="0.0%"/>
    <numFmt numFmtId="181" formatCode="_-* #,##0\ _к_._-;\-* #,##0\ _к_._-;_-* &quot;-&quot;\ _к_._-;_-@_-"/>
    <numFmt numFmtId="182" formatCode="_-* #,##0.0\ _г_р_н_._-;\-* #,##0.0\ _г_р_н_._-;_-* &quot;-&quot;??\ _г_р_н_._-;_-@_-"/>
    <numFmt numFmtId="183" formatCode="_-* #,##0\ _р_._-;\-* #,##0\ _р_._-;_-* &quot;-&quot;\ _р_._-;_-@_-"/>
    <numFmt numFmtId="184" formatCode="_-* #,##0.00\ _р_._-;\-* #,##0.00\ _р_._-;_-* &quot;-&quot;??\ _р_._-;_-@_-"/>
    <numFmt numFmtId="185" formatCode="#,##0.0000"/>
    <numFmt numFmtId="186" formatCode="0.0000"/>
    <numFmt numFmtId="187" formatCode="0.00000"/>
  </numFmts>
  <fonts count="108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Courier"/>
      <family val="1"/>
    </font>
    <font>
      <sz val="11"/>
      <color indexed="20"/>
      <name val="Calibri"/>
      <family val="2"/>
    </font>
    <font>
      <sz val="12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17.5"/>
      <name val="Times New Roman"/>
      <family val="1"/>
    </font>
    <font>
      <sz val="17.5"/>
      <name val="Arial"/>
      <family val="2"/>
    </font>
    <font>
      <b/>
      <sz val="17.5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9"/>
      <name val="Times New Roman"/>
      <family val="1"/>
    </font>
    <font>
      <sz val="19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8"/>
      <color indexed="8"/>
      <name val="Arial"/>
      <family val="2"/>
    </font>
    <font>
      <sz val="17"/>
      <color indexed="8"/>
      <name val="Arial"/>
      <family val="2"/>
    </font>
    <font>
      <b/>
      <sz val="17"/>
      <color indexed="8"/>
      <name val="Times New Roman"/>
      <family val="1"/>
    </font>
    <font>
      <sz val="17.5"/>
      <color indexed="8"/>
      <name val="Calibri"/>
      <family val="2"/>
    </font>
    <font>
      <sz val="17.5"/>
      <color indexed="8"/>
      <name val="Arial"/>
      <family val="2"/>
    </font>
    <font>
      <b/>
      <sz val="17.5"/>
      <color indexed="8"/>
      <name val="Times New Roman"/>
      <family val="1"/>
    </font>
    <font>
      <sz val="17.5"/>
      <color indexed="8"/>
      <name val="Times New Roman"/>
      <family val="1"/>
    </font>
    <font>
      <sz val="19"/>
      <color indexed="8"/>
      <name val="Times New Roman"/>
      <family val="1"/>
    </font>
    <font>
      <sz val="19"/>
      <color indexed="8"/>
      <name val="Arial"/>
      <family val="2"/>
    </font>
    <font>
      <b/>
      <sz val="19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7"/>
      <color theme="1"/>
      <name val="Arial"/>
      <family val="2"/>
    </font>
    <font>
      <b/>
      <sz val="17"/>
      <color theme="1"/>
      <name val="Times New Roman"/>
      <family val="1"/>
    </font>
    <font>
      <sz val="17.5"/>
      <color theme="1"/>
      <name val="Calibri"/>
      <family val="2"/>
    </font>
    <font>
      <sz val="17.5"/>
      <color theme="1"/>
      <name val="Arial"/>
      <family val="2"/>
    </font>
    <font>
      <b/>
      <sz val="17.5"/>
      <color theme="1"/>
      <name val="Times New Roman"/>
      <family val="1"/>
    </font>
    <font>
      <sz val="17.5"/>
      <color theme="1"/>
      <name val="Times New Roman"/>
      <family val="1"/>
    </font>
    <font>
      <sz val="19"/>
      <color theme="1"/>
      <name val="Times New Roman"/>
      <family val="1"/>
    </font>
    <font>
      <sz val="19"/>
      <color theme="1"/>
      <name val="Arial"/>
      <family val="2"/>
    </font>
    <font>
      <b/>
      <sz val="19"/>
      <color theme="1"/>
      <name val="Times New Roman"/>
      <family val="1"/>
    </font>
    <font>
      <sz val="14"/>
      <color theme="1"/>
      <name val="Arial"/>
      <family val="2"/>
    </font>
    <font>
      <sz val="16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14" borderId="0" applyNumberFormat="0" applyBorder="0" applyAlignment="0" applyProtection="0"/>
    <xf numFmtId="0" fontId="2" fillId="5" borderId="0" applyNumberFormat="0" applyBorder="0" applyAlignment="0" applyProtection="0"/>
    <xf numFmtId="0" fontId="0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3" borderId="0" applyNumberFormat="0" applyBorder="0" applyAlignment="0" applyProtection="0"/>
    <xf numFmtId="0" fontId="0" fillId="20" borderId="0" applyNumberFormat="0" applyBorder="0" applyAlignment="0" applyProtection="0"/>
    <xf numFmtId="0" fontId="2" fillId="19" borderId="0" applyNumberFormat="0" applyBorder="0" applyAlignment="0" applyProtection="0"/>
    <xf numFmtId="0" fontId="0" fillId="21" borderId="0" applyNumberFormat="0" applyBorder="0" applyAlignment="0" applyProtection="0"/>
    <xf numFmtId="0" fontId="2" fillId="17" borderId="0" applyNumberFormat="0" applyBorder="0" applyAlignment="0" applyProtection="0"/>
    <xf numFmtId="0" fontId="0" fillId="22" borderId="0" applyNumberFormat="0" applyBorder="0" applyAlignment="0" applyProtection="0"/>
    <xf numFmtId="0" fontId="2" fillId="23" borderId="0" applyNumberFormat="0" applyBorder="0" applyAlignment="0" applyProtection="0"/>
    <xf numFmtId="0" fontId="0" fillId="24" borderId="0" applyNumberFormat="0" applyBorder="0" applyAlignment="0" applyProtection="0"/>
    <xf numFmtId="0" fontId="2" fillId="13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0" fillId="26" borderId="0" applyNumberFormat="0" applyBorder="0" applyAlignment="0" applyProtection="0"/>
    <xf numFmtId="0" fontId="2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3" borderId="0" applyNumberFormat="0" applyBorder="0" applyAlignment="0" applyProtection="0"/>
    <xf numFmtId="0" fontId="75" fillId="29" borderId="0" applyNumberFormat="0" applyBorder="0" applyAlignment="0" applyProtection="0"/>
    <xf numFmtId="0" fontId="8" fillId="30" borderId="0" applyNumberFormat="0" applyBorder="0" applyAlignment="0" applyProtection="0"/>
    <xf numFmtId="0" fontId="75" fillId="31" borderId="0" applyNumberFormat="0" applyBorder="0" applyAlignment="0" applyProtection="0"/>
    <xf numFmtId="0" fontId="8" fillId="17" borderId="0" applyNumberFormat="0" applyBorder="0" applyAlignment="0" applyProtection="0"/>
    <xf numFmtId="0" fontId="75" fillId="32" borderId="0" applyNumberFormat="0" applyBorder="0" applyAlignment="0" applyProtection="0"/>
    <xf numFmtId="0" fontId="8" fillId="23" borderId="0" applyNumberFormat="0" applyBorder="0" applyAlignment="0" applyProtection="0"/>
    <xf numFmtId="0" fontId="75" fillId="33" borderId="0" applyNumberFormat="0" applyBorder="0" applyAlignment="0" applyProtection="0"/>
    <xf numFmtId="0" fontId="8" fillId="34" borderId="0" applyNumberFormat="0" applyBorder="0" applyAlignment="0" applyProtection="0"/>
    <xf numFmtId="0" fontId="75" fillId="35" borderId="0" applyNumberFormat="0" applyBorder="0" applyAlignment="0" applyProtection="0"/>
    <xf numFmtId="0" fontId="8" fillId="28" borderId="0" applyNumberFormat="0" applyBorder="0" applyAlignment="0" applyProtection="0"/>
    <xf numFmtId="0" fontId="75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2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40" borderId="0" applyNumberFormat="0" applyBorder="0" applyAlignment="0" applyProtection="0"/>
    <xf numFmtId="0" fontId="9" fillId="9" borderId="0" applyNumberFormat="0" applyBorder="0" applyAlignment="0" applyProtection="0"/>
    <xf numFmtId="0" fontId="10" fillId="2" borderId="1" applyNumberFormat="0" applyAlignment="0" applyProtection="0"/>
    <xf numFmtId="0" fontId="10" fillId="2" borderId="1" applyNumberFormat="0" applyAlignment="0" applyProtection="0"/>
    <xf numFmtId="0" fontId="11" fillId="41" borderId="2" applyNumberFormat="0" applyAlignment="0" applyProtection="0"/>
    <xf numFmtId="172" fontId="4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8" borderId="0" applyNumberFormat="0" applyBorder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20" fillId="2" borderId="8" applyNumberFormat="0" applyAlignment="0" applyProtection="0"/>
    <xf numFmtId="0" fontId="20" fillId="2" borderId="8" applyNumberFormat="0" applyAlignment="0" applyProtection="0"/>
    <xf numFmtId="0" fontId="2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5" fillId="42" borderId="0" applyNumberFormat="0" applyBorder="0" applyAlignment="0" applyProtection="0"/>
    <xf numFmtId="0" fontId="8" fillId="43" borderId="0" applyNumberFormat="0" applyBorder="0" applyAlignment="0" applyProtection="0"/>
    <xf numFmtId="0" fontId="75" fillId="44" borderId="0" applyNumberFormat="0" applyBorder="0" applyAlignment="0" applyProtection="0"/>
    <xf numFmtId="0" fontId="8" fillId="45" borderId="0" applyNumberFormat="0" applyBorder="0" applyAlignment="0" applyProtection="0"/>
    <xf numFmtId="0" fontId="75" fillId="46" borderId="0" applyNumberFormat="0" applyBorder="0" applyAlignment="0" applyProtection="0"/>
    <xf numFmtId="0" fontId="8" fillId="47" borderId="0" applyNumberFormat="0" applyBorder="0" applyAlignment="0" applyProtection="0"/>
    <xf numFmtId="0" fontId="75" fillId="48" borderId="0" applyNumberFormat="0" applyBorder="0" applyAlignment="0" applyProtection="0"/>
    <xf numFmtId="0" fontId="8" fillId="34" borderId="0" applyNumberFormat="0" applyBorder="0" applyAlignment="0" applyProtection="0"/>
    <xf numFmtId="0" fontId="75" fillId="49" borderId="0" applyNumberFormat="0" applyBorder="0" applyAlignment="0" applyProtection="0"/>
    <xf numFmtId="0" fontId="8" fillId="28" borderId="0" applyNumberFormat="0" applyBorder="0" applyAlignment="0" applyProtection="0"/>
    <xf numFmtId="0" fontId="75" fillId="50" borderId="0" applyNumberFormat="0" applyBorder="0" applyAlignment="0" applyProtection="0"/>
    <xf numFmtId="0" fontId="8" fillId="40" borderId="0" applyNumberFormat="0" applyBorder="0" applyAlignment="0" applyProtection="0"/>
    <xf numFmtId="0" fontId="76" fillId="51" borderId="10" applyNumberFormat="0" applyAlignment="0" applyProtection="0"/>
    <xf numFmtId="0" fontId="17" fillId="3" borderId="1" applyNumberFormat="0" applyAlignment="0" applyProtection="0"/>
    <xf numFmtId="9" fontId="4" fillId="0" borderId="0" applyFont="0" applyFill="0" applyBorder="0" applyAlignment="0" applyProtection="0"/>
    <xf numFmtId="0" fontId="77" fillId="52" borderId="11" applyNumberFormat="0" applyAlignment="0" applyProtection="0"/>
    <xf numFmtId="0" fontId="20" fillId="16" borderId="8" applyNumberFormat="0" applyAlignment="0" applyProtection="0"/>
    <xf numFmtId="0" fontId="78" fillId="52" borderId="10" applyNumberFormat="0" applyAlignment="0" applyProtection="0"/>
    <xf numFmtId="0" fontId="10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4" fillId="0" borderId="0" applyFill="0" applyBorder="0" applyAlignment="0" applyProtection="0"/>
    <xf numFmtId="0" fontId="79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80" fillId="0" borderId="1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81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8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3" fillId="0" borderId="17" applyNumberFormat="0" applyFill="0" applyAlignment="0" applyProtection="0"/>
    <xf numFmtId="0" fontId="3" fillId="0" borderId="18" applyNumberFormat="0" applyFill="0" applyAlignment="0" applyProtection="0"/>
    <xf numFmtId="0" fontId="84" fillId="53" borderId="19" applyNumberFormat="0" applyAlignment="0" applyProtection="0"/>
    <xf numFmtId="0" fontId="11" fillId="41" borderId="2" applyNumberFormat="0" applyAlignment="0" applyProtection="0"/>
    <xf numFmtId="0" fontId="8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6" fillId="54" borderId="0" applyNumberFormat="0" applyBorder="0" applyAlignment="0" applyProtection="0"/>
    <xf numFmtId="0" fontId="19" fillId="18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4" fillId="0" borderId="0">
      <alignment/>
      <protection/>
    </xf>
    <xf numFmtId="0" fontId="8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4" fillId="0" borderId="0">
      <alignment/>
      <protection/>
    </xf>
    <xf numFmtId="0" fontId="8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4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4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7" fillId="55" borderId="0" applyNumberFormat="0" applyBorder="0" applyAlignment="0" applyProtection="0"/>
    <xf numFmtId="0" fontId="27" fillId="9" borderId="0" applyNumberFormat="0" applyBorder="0" applyAlignment="0" applyProtection="0"/>
    <xf numFmtId="0" fontId="8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56" borderId="20" applyNumberFormat="0" applyFont="0" applyAlignment="0" applyProtection="0"/>
    <xf numFmtId="0" fontId="2" fillId="4" borderId="7" applyNumberFormat="0" applyFont="0" applyAlignment="0" applyProtection="0"/>
    <xf numFmtId="9" fontId="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9" fillId="0" borderId="21" applyNumberFormat="0" applyFill="0" applyAlignment="0" applyProtection="0"/>
    <xf numFmtId="0" fontId="18" fillId="0" borderId="6" applyNumberFormat="0" applyFill="0" applyAlignment="0" applyProtection="0"/>
    <xf numFmtId="0" fontId="9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1" fillId="57" borderId="0" applyNumberFormat="0" applyBorder="0" applyAlignment="0" applyProtection="0"/>
    <xf numFmtId="0" fontId="13" fillId="1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29" fillId="0" borderId="0" xfId="173" applyFont="1" applyFill="1" applyAlignment="1">
      <alignment horizontal="center" vertical="center"/>
      <protection/>
    </xf>
    <xf numFmtId="0" fontId="29" fillId="0" borderId="0" xfId="173" applyFont="1" applyFill="1" applyBorder="1" applyAlignment="1">
      <alignment vertical="center"/>
      <protection/>
    </xf>
    <xf numFmtId="0" fontId="29" fillId="0" borderId="0" xfId="173" applyFont="1" applyFill="1">
      <alignment/>
      <protection/>
    </xf>
    <xf numFmtId="0" fontId="94" fillId="0" borderId="0" xfId="0" applyFont="1" applyAlignment="1">
      <alignment/>
    </xf>
    <xf numFmtId="0" fontId="29" fillId="0" borderId="22" xfId="173" applyFont="1" applyFill="1" applyBorder="1" applyAlignment="1">
      <alignment horizontal="center" vertical="center" wrapText="1"/>
      <protection/>
    </xf>
    <xf numFmtId="0" fontId="29" fillId="0" borderId="22" xfId="173" applyNumberFormat="1" applyFont="1" applyFill="1" applyBorder="1" applyAlignment="1">
      <alignment horizontal="center" vertical="center" wrapText="1"/>
      <protection/>
    </xf>
    <xf numFmtId="0" fontId="29" fillId="0" borderId="22" xfId="173" applyNumberFormat="1" applyFont="1" applyFill="1" applyBorder="1" applyAlignment="1">
      <alignment horizontal="center" wrapText="1"/>
      <protection/>
    </xf>
    <xf numFmtId="0" fontId="30" fillId="0" borderId="22" xfId="173" applyFont="1" applyFill="1" applyBorder="1" applyAlignment="1">
      <alignment horizontal="center" vertical="center" wrapText="1"/>
      <protection/>
    </xf>
    <xf numFmtId="0" fontId="30" fillId="0" borderId="22" xfId="173" applyFont="1" applyFill="1" applyBorder="1" applyAlignment="1">
      <alignment horizontal="left" vertical="top" wrapText="1"/>
      <protection/>
    </xf>
    <xf numFmtId="4" fontId="30" fillId="0" borderId="22" xfId="173" applyNumberFormat="1" applyFont="1" applyFill="1" applyBorder="1" applyAlignment="1">
      <alignment horizontal="center" vertical="center" wrapText="1"/>
      <protection/>
    </xf>
    <xf numFmtId="0" fontId="30" fillId="0" borderId="22" xfId="173" applyFont="1" applyFill="1" applyBorder="1" applyAlignment="1">
      <alignment horizontal="left" vertical="center" wrapText="1"/>
      <protection/>
    </xf>
    <xf numFmtId="2" fontId="30" fillId="0" borderId="22" xfId="173" applyNumberFormat="1" applyFont="1" applyFill="1" applyBorder="1" applyAlignment="1">
      <alignment horizontal="center" vertical="center" wrapText="1"/>
      <protection/>
    </xf>
    <xf numFmtId="2" fontId="30" fillId="0" borderId="22" xfId="173" applyNumberFormat="1" applyFont="1" applyFill="1" applyBorder="1" applyAlignment="1">
      <alignment horizontal="center" vertical="center"/>
      <protection/>
    </xf>
    <xf numFmtId="49" fontId="29" fillId="0" borderId="22" xfId="173" applyNumberFormat="1" applyFont="1" applyFill="1" applyBorder="1" applyAlignment="1">
      <alignment horizontal="center" vertical="center" wrapText="1"/>
      <protection/>
    </xf>
    <xf numFmtId="0" fontId="29" fillId="0" borderId="22" xfId="173" applyFont="1" applyFill="1" applyBorder="1" applyAlignment="1">
      <alignment horizontal="left" vertical="top" wrapText="1"/>
      <protection/>
    </xf>
    <xf numFmtId="4" fontId="29" fillId="0" borderId="22" xfId="173" applyNumberFormat="1" applyFont="1" applyFill="1" applyBorder="1" applyAlignment="1">
      <alignment horizontal="center" vertical="top" wrapText="1"/>
      <protection/>
    </xf>
    <xf numFmtId="2" fontId="29" fillId="0" borderId="22" xfId="173" applyNumberFormat="1" applyFont="1" applyFill="1" applyBorder="1" applyAlignment="1">
      <alignment horizontal="center" vertical="top" wrapText="1"/>
      <protection/>
    </xf>
    <xf numFmtId="2" fontId="29" fillId="0" borderId="22" xfId="173" applyNumberFormat="1" applyFont="1" applyFill="1" applyBorder="1" applyAlignment="1">
      <alignment horizontal="center" vertical="center" wrapText="1"/>
      <protection/>
    </xf>
    <xf numFmtId="2" fontId="29" fillId="0" borderId="22" xfId="173" applyNumberFormat="1" applyFont="1" applyFill="1" applyBorder="1" applyAlignment="1">
      <alignment horizontal="center" vertical="center"/>
      <protection/>
    </xf>
    <xf numFmtId="0" fontId="29" fillId="0" borderId="22" xfId="173" applyFont="1" applyFill="1" applyBorder="1" applyAlignment="1">
      <alignment vertical="top" wrapText="1"/>
      <protection/>
    </xf>
    <xf numFmtId="4" fontId="29" fillId="0" borderId="22" xfId="173" applyNumberFormat="1" applyFont="1" applyFill="1" applyBorder="1" applyAlignment="1">
      <alignment horizontal="center" vertical="center" wrapText="1"/>
      <protection/>
    </xf>
    <xf numFmtId="0" fontId="30" fillId="0" borderId="22" xfId="173" applyFont="1" applyFill="1" applyBorder="1" applyAlignment="1">
      <alignment vertical="top" wrapText="1"/>
      <protection/>
    </xf>
    <xf numFmtId="0" fontId="30" fillId="0" borderId="22" xfId="173" applyFont="1" applyFill="1" applyBorder="1" applyAlignment="1">
      <alignment vertical="center" wrapText="1"/>
      <protection/>
    </xf>
    <xf numFmtId="2" fontId="30" fillId="0" borderId="22" xfId="173" applyNumberFormat="1" applyFont="1" applyFill="1" applyBorder="1" applyAlignment="1">
      <alignment horizontal="center" vertical="top" wrapText="1"/>
      <protection/>
    </xf>
    <xf numFmtId="4" fontId="30" fillId="0" borderId="22" xfId="173" applyNumberFormat="1" applyFont="1" applyFill="1" applyBorder="1" applyAlignment="1">
      <alignment horizontal="center" vertical="top" wrapText="1"/>
      <protection/>
    </xf>
    <xf numFmtId="2" fontId="95" fillId="0" borderId="0" xfId="0" applyNumberFormat="1" applyFont="1" applyAlignment="1">
      <alignment horizontal="center" vertical="center"/>
    </xf>
    <xf numFmtId="0" fontId="30" fillId="0" borderId="22" xfId="173" applyFont="1" applyFill="1" applyBorder="1" applyAlignment="1">
      <alignment horizontal="center" vertical="top" wrapText="1"/>
      <protection/>
    </xf>
    <xf numFmtId="174" fontId="30" fillId="0" borderId="22" xfId="173" applyNumberFormat="1" applyFont="1" applyFill="1" applyBorder="1" applyAlignment="1">
      <alignment horizontal="center" vertical="top" wrapText="1"/>
      <protection/>
    </xf>
    <xf numFmtId="0" fontId="96" fillId="0" borderId="0" xfId="0" applyFont="1" applyAlignment="1">
      <alignment/>
    </xf>
    <xf numFmtId="0" fontId="29" fillId="0" borderId="23" xfId="173" applyFont="1" applyFill="1" applyBorder="1" applyAlignment="1">
      <alignment/>
      <protection/>
    </xf>
    <xf numFmtId="0" fontId="29" fillId="0" borderId="0" xfId="173" applyFont="1" applyFill="1" applyBorder="1" applyAlignment="1">
      <alignment horizontal="right" vertical="center"/>
      <protection/>
    </xf>
    <xf numFmtId="0" fontId="29" fillId="0" borderId="0" xfId="173" applyFont="1" applyFill="1" applyAlignment="1">
      <alignment horizontal="right"/>
      <protection/>
    </xf>
    <xf numFmtId="0" fontId="31" fillId="0" borderId="0" xfId="173" applyFont="1" applyFill="1" applyAlignment="1">
      <alignment horizontal="center" vertical="center"/>
      <protection/>
    </xf>
    <xf numFmtId="0" fontId="31" fillId="0" borderId="0" xfId="173" applyFont="1" applyFill="1" applyBorder="1" applyAlignment="1">
      <alignment vertical="center"/>
      <protection/>
    </xf>
    <xf numFmtId="0" fontId="31" fillId="0" borderId="0" xfId="173" applyFont="1" applyFill="1">
      <alignment/>
      <protection/>
    </xf>
    <xf numFmtId="0" fontId="97" fillId="0" borderId="0" xfId="0" applyFont="1" applyAlignment="1">
      <alignment/>
    </xf>
    <xf numFmtId="0" fontId="31" fillId="0" borderId="22" xfId="173" applyFont="1" applyFill="1" applyBorder="1" applyAlignment="1">
      <alignment horizontal="center" vertical="center" wrapText="1"/>
      <protection/>
    </xf>
    <xf numFmtId="0" fontId="31" fillId="0" borderId="22" xfId="173" applyNumberFormat="1" applyFont="1" applyFill="1" applyBorder="1" applyAlignment="1">
      <alignment horizontal="center" vertical="center" wrapText="1"/>
      <protection/>
    </xf>
    <xf numFmtId="0" fontId="31" fillId="0" borderId="22" xfId="173" applyNumberFormat="1" applyFont="1" applyFill="1" applyBorder="1" applyAlignment="1">
      <alignment horizontal="center" wrapText="1"/>
      <protection/>
    </xf>
    <xf numFmtId="0" fontId="31" fillId="0" borderId="22" xfId="173" applyFont="1" applyFill="1" applyBorder="1" applyAlignment="1">
      <alignment horizontal="left" vertical="top" wrapText="1"/>
      <protection/>
    </xf>
    <xf numFmtId="4" fontId="31" fillId="0" borderId="22" xfId="173" applyNumberFormat="1" applyFont="1" applyFill="1" applyBorder="1" applyAlignment="1">
      <alignment horizontal="center" vertical="center" wrapText="1"/>
      <protection/>
    </xf>
    <xf numFmtId="0" fontId="31" fillId="0" borderId="22" xfId="173" applyFont="1" applyFill="1" applyBorder="1" applyAlignment="1">
      <alignment horizontal="left" vertical="center" wrapText="1"/>
      <protection/>
    </xf>
    <xf numFmtId="2" fontId="31" fillId="0" borderId="22" xfId="173" applyNumberFormat="1" applyFont="1" applyFill="1" applyBorder="1" applyAlignment="1">
      <alignment horizontal="center" vertical="center" wrapText="1"/>
      <protection/>
    </xf>
    <xf numFmtId="2" fontId="31" fillId="0" borderId="22" xfId="173" applyNumberFormat="1" applyFont="1" applyFill="1" applyBorder="1" applyAlignment="1">
      <alignment horizontal="center" vertical="center"/>
      <protection/>
    </xf>
    <xf numFmtId="49" fontId="31" fillId="0" borderId="22" xfId="173" applyNumberFormat="1" applyFont="1" applyFill="1" applyBorder="1" applyAlignment="1">
      <alignment horizontal="center" vertical="center" wrapText="1"/>
      <protection/>
    </xf>
    <xf numFmtId="4" fontId="31" fillId="0" borderId="22" xfId="173" applyNumberFormat="1" applyFont="1" applyFill="1" applyBorder="1" applyAlignment="1">
      <alignment horizontal="center" vertical="top" wrapText="1"/>
      <protection/>
    </xf>
    <xf numFmtId="2" fontId="31" fillId="0" borderId="22" xfId="173" applyNumberFormat="1" applyFont="1" applyFill="1" applyBorder="1" applyAlignment="1">
      <alignment horizontal="center" vertical="top" wrapText="1"/>
      <protection/>
    </xf>
    <xf numFmtId="0" fontId="31" fillId="0" borderId="22" xfId="173" applyFont="1" applyFill="1" applyBorder="1" applyAlignment="1">
      <alignment vertical="top" wrapText="1"/>
      <protection/>
    </xf>
    <xf numFmtId="0" fontId="31" fillId="0" borderId="22" xfId="173" applyFont="1" applyFill="1" applyBorder="1" applyAlignment="1">
      <alignment vertical="center" wrapText="1"/>
      <protection/>
    </xf>
    <xf numFmtId="2" fontId="31" fillId="0" borderId="22" xfId="173" applyNumberFormat="1" applyFont="1" applyFill="1" applyBorder="1" applyAlignment="1">
      <alignment horizontal="center" vertical="top"/>
      <protection/>
    </xf>
    <xf numFmtId="0" fontId="32" fillId="0" borderId="23" xfId="173" applyFont="1" applyFill="1" applyBorder="1" applyAlignment="1">
      <alignment/>
      <protection/>
    </xf>
    <xf numFmtId="0" fontId="32" fillId="0" borderId="0" xfId="173" applyFont="1" applyFill="1" applyBorder="1" applyAlignment="1">
      <alignment horizontal="right" vertical="center"/>
      <protection/>
    </xf>
    <xf numFmtId="0" fontId="32" fillId="0" borderId="22" xfId="173" applyFont="1" applyFill="1" applyBorder="1" applyAlignment="1">
      <alignment horizontal="center" vertical="center" wrapText="1"/>
      <protection/>
    </xf>
    <xf numFmtId="0" fontId="32" fillId="0" borderId="22" xfId="173" applyFont="1" applyFill="1" applyBorder="1" applyAlignment="1">
      <alignment horizontal="left" vertical="top" wrapText="1"/>
      <protection/>
    </xf>
    <xf numFmtId="4" fontId="32" fillId="0" borderId="22" xfId="173" applyNumberFormat="1" applyFont="1" applyFill="1" applyBorder="1" applyAlignment="1">
      <alignment horizontal="center" vertical="top" wrapText="1"/>
      <protection/>
    </xf>
    <xf numFmtId="2" fontId="32" fillId="0" borderId="22" xfId="173" applyNumberFormat="1" applyFont="1" applyFill="1" applyBorder="1" applyAlignment="1">
      <alignment horizontal="center" vertical="top" wrapText="1"/>
      <protection/>
    </xf>
    <xf numFmtId="2" fontId="32" fillId="0" borderId="22" xfId="173" applyNumberFormat="1" applyFont="1" applyFill="1" applyBorder="1" applyAlignment="1">
      <alignment horizontal="center" vertical="center"/>
      <protection/>
    </xf>
    <xf numFmtId="4" fontId="32" fillId="0" borderId="22" xfId="173" applyNumberFormat="1" applyFont="1" applyFill="1" applyBorder="1" applyAlignment="1">
      <alignment horizontal="center" vertical="center" wrapText="1"/>
      <protection/>
    </xf>
    <xf numFmtId="2" fontId="32" fillId="0" borderId="22" xfId="173" applyNumberFormat="1" applyFont="1" applyFill="1" applyBorder="1" applyAlignment="1">
      <alignment horizontal="center" vertical="center" wrapText="1"/>
      <protection/>
    </xf>
    <xf numFmtId="0" fontId="32" fillId="0" borderId="22" xfId="173" applyFont="1" applyFill="1" applyBorder="1" applyAlignment="1">
      <alignment vertical="top" wrapText="1"/>
      <protection/>
    </xf>
    <xf numFmtId="0" fontId="32" fillId="0" borderId="22" xfId="173" applyFont="1" applyFill="1" applyBorder="1" applyAlignment="1">
      <alignment vertical="center" wrapText="1"/>
      <protection/>
    </xf>
    <xf numFmtId="1" fontId="32" fillId="0" borderId="22" xfId="173" applyNumberFormat="1" applyFont="1" applyFill="1" applyBorder="1" applyAlignment="1">
      <alignment horizontal="center" vertical="center"/>
      <protection/>
    </xf>
    <xf numFmtId="0" fontId="32" fillId="0" borderId="22" xfId="173" applyFont="1" applyFill="1" applyBorder="1" applyAlignment="1">
      <alignment horizontal="center" vertical="top" wrapText="1"/>
      <protection/>
    </xf>
    <xf numFmtId="174" fontId="32" fillId="0" borderId="22" xfId="173" applyNumberFormat="1" applyFont="1" applyFill="1" applyBorder="1" applyAlignment="1">
      <alignment horizontal="center" vertical="top" wrapText="1"/>
      <protection/>
    </xf>
    <xf numFmtId="0" fontId="32" fillId="0" borderId="0" xfId="173" applyFont="1" applyFill="1" applyAlignment="1">
      <alignment horizontal="right"/>
      <protection/>
    </xf>
    <xf numFmtId="2" fontId="32" fillId="0" borderId="22" xfId="173" applyNumberFormat="1" applyFont="1" applyFill="1" applyBorder="1" applyAlignment="1">
      <alignment horizontal="center" vertical="top"/>
      <protection/>
    </xf>
    <xf numFmtId="2" fontId="30" fillId="0" borderId="22" xfId="173" applyNumberFormat="1" applyFont="1" applyFill="1" applyBorder="1" applyAlignment="1">
      <alignment horizontal="center" vertical="top"/>
      <protection/>
    </xf>
    <xf numFmtId="2" fontId="30" fillId="58" borderId="22" xfId="173" applyNumberFormat="1" applyFont="1" applyFill="1" applyBorder="1" applyAlignment="1">
      <alignment horizontal="center" vertical="center" wrapText="1"/>
      <protection/>
    </xf>
    <xf numFmtId="4" fontId="29" fillId="0" borderId="22" xfId="173" applyNumberFormat="1" applyFont="1" applyFill="1" applyBorder="1" applyAlignment="1">
      <alignment horizontal="center" wrapText="1"/>
      <protection/>
    </xf>
    <xf numFmtId="2" fontId="29" fillId="0" borderId="22" xfId="173" applyNumberFormat="1" applyFont="1" applyFill="1" applyBorder="1" applyAlignment="1">
      <alignment horizontal="center" wrapText="1"/>
      <protection/>
    </xf>
    <xf numFmtId="2" fontId="29" fillId="0" borderId="22" xfId="173" applyNumberFormat="1" applyFont="1" applyFill="1" applyBorder="1" applyAlignment="1">
      <alignment horizontal="center"/>
      <protection/>
    </xf>
    <xf numFmtId="1" fontId="30" fillId="0" borderId="22" xfId="173" applyNumberFormat="1" applyFont="1" applyFill="1" applyBorder="1" applyAlignment="1">
      <alignment horizontal="center" vertical="top"/>
      <protection/>
    </xf>
    <xf numFmtId="0" fontId="32" fillId="0" borderId="22" xfId="173" applyFont="1" applyFill="1" applyBorder="1" applyAlignment="1">
      <alignment wrapText="1"/>
      <protection/>
    </xf>
    <xf numFmtId="4" fontId="32" fillId="0" borderId="22" xfId="173" applyNumberFormat="1" applyFont="1" applyFill="1" applyBorder="1" applyAlignment="1">
      <alignment horizontal="center" wrapText="1"/>
      <protection/>
    </xf>
    <xf numFmtId="2" fontId="32" fillId="0" borderId="22" xfId="173" applyNumberFormat="1" applyFont="1" applyFill="1" applyBorder="1" applyAlignment="1">
      <alignment horizontal="center" wrapText="1"/>
      <protection/>
    </xf>
    <xf numFmtId="2" fontId="32" fillId="0" borderId="22" xfId="173" applyNumberFormat="1" applyFont="1" applyFill="1" applyBorder="1" applyAlignment="1">
      <alignment horizontal="center"/>
      <protection/>
    </xf>
    <xf numFmtId="2" fontId="98" fillId="0" borderId="0" xfId="0" applyNumberFormat="1" applyFont="1" applyAlignment="1">
      <alignment horizontal="center" vertical="top"/>
    </xf>
    <xf numFmtId="49" fontId="31" fillId="0" borderId="22" xfId="173" applyNumberFormat="1" applyFont="1" applyFill="1" applyBorder="1" applyAlignment="1">
      <alignment horizontal="center" vertical="top" wrapText="1"/>
      <protection/>
    </xf>
    <xf numFmtId="2" fontId="32" fillId="0" borderId="22" xfId="173" applyNumberFormat="1" applyFont="1" applyFill="1" applyBorder="1" applyAlignment="1">
      <alignment vertical="top" wrapText="1"/>
      <protection/>
    </xf>
    <xf numFmtId="2" fontId="32" fillId="0" borderId="22" xfId="173" applyNumberFormat="1" applyFont="1" applyFill="1" applyBorder="1" applyAlignment="1">
      <alignment vertical="top"/>
      <protection/>
    </xf>
    <xf numFmtId="0" fontId="33" fillId="0" borderId="0" xfId="173" applyFont="1" applyFill="1" applyAlignment="1">
      <alignment horizontal="center" vertical="center"/>
      <protection/>
    </xf>
    <xf numFmtId="0" fontId="33" fillId="0" borderId="0" xfId="173" applyFont="1" applyFill="1" applyBorder="1" applyAlignment="1">
      <alignment vertical="center"/>
      <protection/>
    </xf>
    <xf numFmtId="0" fontId="33" fillId="0" borderId="0" xfId="173" applyFont="1" applyFill="1" applyBorder="1" applyAlignment="1">
      <alignment horizontal="left"/>
      <protection/>
    </xf>
    <xf numFmtId="0" fontId="34" fillId="0" borderId="0" xfId="173" applyFont="1" applyFill="1">
      <alignment/>
      <protection/>
    </xf>
    <xf numFmtId="0" fontId="99" fillId="0" borderId="0" xfId="0" applyFont="1" applyAlignment="1">
      <alignment/>
    </xf>
    <xf numFmtId="0" fontId="33" fillId="0" borderId="0" xfId="173" applyFont="1" applyFill="1" applyAlignment="1">
      <alignment horizontal="left"/>
      <protection/>
    </xf>
    <xf numFmtId="0" fontId="33" fillId="0" borderId="0" xfId="173" applyFont="1" applyFill="1">
      <alignment/>
      <protection/>
    </xf>
    <xf numFmtId="0" fontId="33" fillId="0" borderId="0" xfId="173" applyFont="1" applyFill="1" applyBorder="1" applyAlignment="1">
      <alignment/>
      <protection/>
    </xf>
    <xf numFmtId="0" fontId="100" fillId="0" borderId="0" xfId="0" applyFont="1" applyAlignment="1">
      <alignment/>
    </xf>
    <xf numFmtId="0" fontId="35" fillId="0" borderId="23" xfId="173" applyFont="1" applyFill="1" applyBorder="1" applyAlignment="1">
      <alignment/>
      <protection/>
    </xf>
    <xf numFmtId="0" fontId="35" fillId="0" borderId="0" xfId="173" applyFont="1" applyFill="1" applyBorder="1" applyAlignment="1">
      <alignment horizontal="right" vertical="center"/>
      <protection/>
    </xf>
    <xf numFmtId="0" fontId="35" fillId="0" borderId="22" xfId="173" applyFont="1" applyFill="1" applyBorder="1" applyAlignment="1">
      <alignment horizontal="center" vertical="center" wrapText="1"/>
      <protection/>
    </xf>
    <xf numFmtId="0" fontId="33" fillId="0" borderId="22" xfId="173" applyFont="1" applyFill="1" applyBorder="1" applyAlignment="1">
      <alignment horizontal="center" vertical="center" wrapText="1"/>
      <protection/>
    </xf>
    <xf numFmtId="0" fontId="33" fillId="0" borderId="22" xfId="173" applyNumberFormat="1" applyFont="1" applyFill="1" applyBorder="1" applyAlignment="1">
      <alignment horizontal="center" vertical="center" wrapText="1"/>
      <protection/>
    </xf>
    <xf numFmtId="0" fontId="33" fillId="0" borderId="22" xfId="173" applyNumberFormat="1" applyFont="1" applyFill="1" applyBorder="1" applyAlignment="1">
      <alignment horizontal="center" wrapText="1"/>
      <protection/>
    </xf>
    <xf numFmtId="0" fontId="35" fillId="0" borderId="22" xfId="173" applyFont="1" applyFill="1" applyBorder="1" applyAlignment="1">
      <alignment horizontal="left" vertical="top" wrapText="1"/>
      <protection/>
    </xf>
    <xf numFmtId="4" fontId="35" fillId="0" borderId="22" xfId="173" applyNumberFormat="1" applyFont="1" applyFill="1" applyBorder="1" applyAlignment="1">
      <alignment horizontal="center" vertical="center" wrapText="1"/>
      <protection/>
    </xf>
    <xf numFmtId="0" fontId="35" fillId="0" borderId="22" xfId="173" applyFont="1" applyFill="1" applyBorder="1" applyAlignment="1">
      <alignment horizontal="left" vertical="center" wrapText="1"/>
      <protection/>
    </xf>
    <xf numFmtId="2" fontId="35" fillId="0" borderId="22" xfId="173" applyNumberFormat="1" applyFont="1" applyFill="1" applyBorder="1" applyAlignment="1">
      <alignment horizontal="center" vertical="center" wrapText="1"/>
      <protection/>
    </xf>
    <xf numFmtId="2" fontId="35" fillId="0" borderId="22" xfId="173" applyNumberFormat="1" applyFont="1" applyFill="1" applyBorder="1" applyAlignment="1">
      <alignment horizontal="center" vertical="center"/>
      <protection/>
    </xf>
    <xf numFmtId="4" fontId="35" fillId="0" borderId="22" xfId="173" applyNumberFormat="1" applyFont="1" applyFill="1" applyBorder="1" applyAlignment="1">
      <alignment horizontal="center" vertical="top" wrapText="1"/>
      <protection/>
    </xf>
    <xf numFmtId="2" fontId="35" fillId="0" borderId="22" xfId="173" applyNumberFormat="1" applyFont="1" applyFill="1" applyBorder="1" applyAlignment="1">
      <alignment horizontal="center" vertical="top" wrapText="1"/>
      <protection/>
    </xf>
    <xf numFmtId="2" fontId="35" fillId="0" borderId="22" xfId="173" applyNumberFormat="1" applyFont="1" applyFill="1" applyBorder="1" applyAlignment="1">
      <alignment horizontal="center" vertical="top"/>
      <protection/>
    </xf>
    <xf numFmtId="49" fontId="33" fillId="0" borderId="22" xfId="173" applyNumberFormat="1" applyFont="1" applyFill="1" applyBorder="1" applyAlignment="1">
      <alignment horizontal="center" vertical="center" wrapText="1"/>
      <protection/>
    </xf>
    <xf numFmtId="0" fontId="33" fillId="0" borderId="22" xfId="173" applyFont="1" applyFill="1" applyBorder="1" applyAlignment="1">
      <alignment horizontal="left" vertical="top" wrapText="1"/>
      <protection/>
    </xf>
    <xf numFmtId="4" fontId="33" fillId="0" borderId="22" xfId="173" applyNumberFormat="1" applyFont="1" applyFill="1" applyBorder="1" applyAlignment="1">
      <alignment horizontal="center" vertical="top" wrapText="1"/>
      <protection/>
    </xf>
    <xf numFmtId="2" fontId="33" fillId="0" borderId="22" xfId="173" applyNumberFormat="1" applyFont="1" applyFill="1" applyBorder="1" applyAlignment="1">
      <alignment horizontal="center" vertical="top" wrapText="1"/>
      <protection/>
    </xf>
    <xf numFmtId="2" fontId="33" fillId="0" borderId="22" xfId="173" applyNumberFormat="1" applyFont="1" applyFill="1" applyBorder="1" applyAlignment="1">
      <alignment horizontal="center" vertical="center" wrapText="1"/>
      <protection/>
    </xf>
    <xf numFmtId="2" fontId="33" fillId="0" borderId="22" xfId="173" applyNumberFormat="1" applyFont="1" applyFill="1" applyBorder="1" applyAlignment="1">
      <alignment horizontal="center" vertical="center"/>
      <protection/>
    </xf>
    <xf numFmtId="4" fontId="33" fillId="0" borderId="22" xfId="173" applyNumberFormat="1" applyFont="1" applyFill="1" applyBorder="1" applyAlignment="1">
      <alignment horizontal="center" vertical="center" wrapText="1"/>
      <protection/>
    </xf>
    <xf numFmtId="2" fontId="33" fillId="0" borderId="22" xfId="173" applyNumberFormat="1" applyFont="1" applyFill="1" applyBorder="1" applyAlignment="1">
      <alignment horizontal="center" vertical="top"/>
      <protection/>
    </xf>
    <xf numFmtId="0" fontId="33" fillId="0" borderId="22" xfId="173" applyFont="1" applyFill="1" applyBorder="1" applyAlignment="1">
      <alignment vertical="top" wrapText="1"/>
      <protection/>
    </xf>
    <xf numFmtId="0" fontId="33" fillId="0" borderId="22" xfId="173" applyFont="1" applyFill="1" applyBorder="1" applyAlignment="1">
      <alignment vertical="center" wrapText="1"/>
      <protection/>
    </xf>
    <xf numFmtId="0" fontId="35" fillId="0" borderId="22" xfId="173" applyFont="1" applyFill="1" applyBorder="1" applyAlignment="1">
      <alignment vertical="top" wrapText="1"/>
      <protection/>
    </xf>
    <xf numFmtId="0" fontId="35" fillId="0" borderId="22" xfId="173" applyFont="1" applyFill="1" applyBorder="1" applyAlignment="1">
      <alignment vertical="center" wrapText="1"/>
      <protection/>
    </xf>
    <xf numFmtId="2" fontId="35" fillId="58" borderId="22" xfId="173" applyNumberFormat="1" applyFont="1" applyFill="1" applyBorder="1" applyAlignment="1">
      <alignment horizontal="center" vertical="top" wrapText="1"/>
      <protection/>
    </xf>
    <xf numFmtId="0" fontId="35" fillId="0" borderId="22" xfId="173" applyFont="1" applyFill="1" applyBorder="1" applyAlignment="1">
      <alignment horizontal="center" vertical="top" wrapText="1"/>
      <protection/>
    </xf>
    <xf numFmtId="2" fontId="101" fillId="58" borderId="0" xfId="0" applyNumberFormat="1" applyFont="1" applyFill="1" applyAlignment="1">
      <alignment horizontal="center" vertical="top"/>
    </xf>
    <xf numFmtId="2" fontId="35" fillId="58" borderId="22" xfId="173" applyNumberFormat="1" applyFont="1" applyFill="1" applyBorder="1" applyAlignment="1">
      <alignment horizontal="center" vertical="top"/>
      <protection/>
    </xf>
    <xf numFmtId="2" fontId="33" fillId="58" borderId="22" xfId="173" applyNumberFormat="1" applyFont="1" applyFill="1" applyBorder="1" applyAlignment="1">
      <alignment horizontal="center" vertical="top" wrapText="1"/>
      <protection/>
    </xf>
    <xf numFmtId="2" fontId="33" fillId="58" borderId="22" xfId="173" applyNumberFormat="1" applyFont="1" applyFill="1" applyBorder="1" applyAlignment="1">
      <alignment horizontal="center" vertical="center" wrapText="1"/>
      <protection/>
    </xf>
    <xf numFmtId="2" fontId="33" fillId="58" borderId="22" xfId="173" applyNumberFormat="1" applyFont="1" applyFill="1" applyBorder="1" applyAlignment="1">
      <alignment horizontal="center" vertical="center"/>
      <protection/>
    </xf>
    <xf numFmtId="49" fontId="33" fillId="0" borderId="22" xfId="173" applyNumberFormat="1" applyFont="1" applyFill="1" applyBorder="1" applyAlignment="1">
      <alignment horizontal="center" vertical="top" wrapText="1"/>
      <protection/>
    </xf>
    <xf numFmtId="2" fontId="33" fillId="58" borderId="22" xfId="173" applyNumberFormat="1" applyFont="1" applyFill="1" applyBorder="1" applyAlignment="1">
      <alignment horizontal="center" vertical="top"/>
      <protection/>
    </xf>
    <xf numFmtId="2" fontId="35" fillId="0" borderId="22" xfId="173" applyNumberFormat="1" applyFont="1" applyFill="1" applyBorder="1" applyAlignment="1">
      <alignment vertical="top" wrapText="1"/>
      <protection/>
    </xf>
    <xf numFmtId="1" fontId="35" fillId="0" borderId="22" xfId="173" applyNumberFormat="1" applyFont="1" applyFill="1" applyBorder="1" applyAlignment="1">
      <alignment horizontal="center" vertical="center"/>
      <protection/>
    </xf>
    <xf numFmtId="174" fontId="35" fillId="0" borderId="22" xfId="173" applyNumberFormat="1" applyFont="1" applyFill="1" applyBorder="1" applyAlignment="1">
      <alignment horizontal="center" vertical="top" wrapText="1"/>
      <protection/>
    </xf>
    <xf numFmtId="0" fontId="35" fillId="0" borderId="0" xfId="173" applyFont="1" applyFill="1" applyAlignment="1">
      <alignment horizontal="right"/>
      <protection/>
    </xf>
    <xf numFmtId="0" fontId="102" fillId="0" borderId="0" xfId="0" applyFont="1" applyAlignment="1">
      <alignment/>
    </xf>
    <xf numFmtId="178" fontId="35" fillId="0" borderId="22" xfId="173" applyNumberFormat="1" applyFont="1" applyFill="1" applyBorder="1" applyAlignment="1">
      <alignment horizontal="center" vertical="top" wrapText="1"/>
      <protection/>
    </xf>
    <xf numFmtId="4" fontId="33" fillId="0" borderId="22" xfId="173" applyNumberFormat="1" applyFont="1" applyFill="1" applyBorder="1" applyAlignment="1">
      <alignment horizontal="center" wrapText="1"/>
      <protection/>
    </xf>
    <xf numFmtId="2" fontId="33" fillId="0" borderId="22" xfId="173" applyNumberFormat="1" applyFont="1" applyFill="1" applyBorder="1" applyAlignment="1">
      <alignment horizontal="center" wrapText="1"/>
      <protection/>
    </xf>
    <xf numFmtId="2" fontId="33" fillId="0" borderId="22" xfId="173" applyNumberFormat="1" applyFont="1" applyFill="1" applyBorder="1" applyAlignment="1">
      <alignment horizontal="center"/>
      <protection/>
    </xf>
    <xf numFmtId="0" fontId="33" fillId="0" borderId="22" xfId="173" applyFont="1" applyFill="1" applyBorder="1" applyAlignment="1">
      <alignment wrapText="1"/>
      <protection/>
    </xf>
    <xf numFmtId="0" fontId="35" fillId="0" borderId="22" xfId="173" applyFont="1" applyFill="1" applyBorder="1" applyAlignment="1">
      <alignment wrapText="1"/>
      <protection/>
    </xf>
    <xf numFmtId="4" fontId="35" fillId="0" borderId="22" xfId="173" applyNumberFormat="1" applyFont="1" applyFill="1" applyBorder="1" applyAlignment="1">
      <alignment horizontal="center" wrapText="1"/>
      <protection/>
    </xf>
    <xf numFmtId="2" fontId="35" fillId="0" borderId="22" xfId="173" applyNumberFormat="1" applyFont="1" applyFill="1" applyBorder="1" applyAlignment="1">
      <alignment horizontal="center" wrapText="1"/>
      <protection/>
    </xf>
    <xf numFmtId="2" fontId="35" fillId="0" borderId="22" xfId="173" applyNumberFormat="1" applyFont="1" applyFill="1" applyBorder="1" applyAlignment="1">
      <alignment horizontal="center"/>
      <protection/>
    </xf>
    <xf numFmtId="178" fontId="35" fillId="0" borderId="22" xfId="173" applyNumberFormat="1" applyFont="1" applyFill="1" applyBorder="1" applyAlignment="1">
      <alignment horizontal="center" wrapText="1"/>
      <protection/>
    </xf>
    <xf numFmtId="176" fontId="35" fillId="0" borderId="22" xfId="173" applyNumberFormat="1" applyFont="1" applyFill="1" applyBorder="1" applyAlignment="1">
      <alignment horizontal="center" vertical="center" wrapText="1"/>
      <protection/>
    </xf>
    <xf numFmtId="186" fontId="35" fillId="0" borderId="22" xfId="173" applyNumberFormat="1" applyFont="1" applyFill="1" applyBorder="1" applyAlignment="1">
      <alignment horizontal="center" vertical="center" wrapText="1"/>
      <protection/>
    </xf>
    <xf numFmtId="186" fontId="33" fillId="0" borderId="22" xfId="173" applyNumberFormat="1" applyFont="1" applyFill="1" applyBorder="1" applyAlignment="1">
      <alignment horizontal="center" vertical="center" wrapText="1"/>
      <protection/>
    </xf>
    <xf numFmtId="2" fontId="101" fillId="0" borderId="0" xfId="0" applyNumberFormat="1" applyFont="1" applyAlignment="1">
      <alignment horizontal="center" vertical="top"/>
    </xf>
    <xf numFmtId="3" fontId="35" fillId="0" borderId="22" xfId="173" applyNumberFormat="1" applyFont="1" applyFill="1" applyBorder="1" applyAlignment="1">
      <alignment horizontal="center" vertical="center" wrapText="1"/>
      <protection/>
    </xf>
    <xf numFmtId="1" fontId="35" fillId="0" borderId="22" xfId="173" applyNumberFormat="1" applyFont="1" applyFill="1" applyBorder="1" applyAlignment="1">
      <alignment horizontal="center" vertical="center" wrapText="1"/>
      <protection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2" borderId="26" xfId="0" applyFont="1" applyFill="1" applyBorder="1" applyAlignment="1">
      <alignment horizontal="center" vertical="center" wrapText="1"/>
    </xf>
    <xf numFmtId="0" fontId="36" fillId="2" borderId="27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36" fillId="0" borderId="25" xfId="0" applyFont="1" applyBorder="1" applyAlignment="1">
      <alignment horizontal="center" wrapText="1"/>
    </xf>
    <xf numFmtId="0" fontId="36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left" vertical="top" wrapText="1"/>
    </xf>
    <xf numFmtId="176" fontId="36" fillId="0" borderId="24" xfId="0" applyNumberFormat="1" applyFont="1" applyBorder="1" applyAlignment="1">
      <alignment horizontal="center" vertical="center" wrapText="1"/>
    </xf>
    <xf numFmtId="176" fontId="36" fillId="0" borderId="22" xfId="0" applyNumberFormat="1" applyFont="1" applyBorder="1" applyAlignment="1">
      <alignment horizontal="center" vertical="center" wrapText="1"/>
    </xf>
    <xf numFmtId="176" fontId="36" fillId="0" borderId="25" xfId="0" applyNumberFormat="1" applyFont="1" applyBorder="1" applyAlignment="1">
      <alignment horizontal="center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2" borderId="27" xfId="0" applyFont="1" applyFill="1" applyBorder="1" applyAlignment="1">
      <alignment horizontal="left" vertical="center" wrapText="1"/>
    </xf>
    <xf numFmtId="0" fontId="29" fillId="2" borderId="27" xfId="0" applyFont="1" applyFill="1" applyBorder="1" applyAlignment="1">
      <alignment horizontal="left" vertical="top" wrapText="1"/>
    </xf>
    <xf numFmtId="2" fontId="36" fillId="0" borderId="24" xfId="0" applyNumberFormat="1" applyFont="1" applyBorder="1" applyAlignment="1">
      <alignment horizontal="center" vertical="center" wrapText="1"/>
    </xf>
    <xf numFmtId="2" fontId="36" fillId="0" borderId="22" xfId="0" applyNumberFormat="1" applyFont="1" applyBorder="1" applyAlignment="1">
      <alignment horizontal="center" vertical="center" wrapText="1"/>
    </xf>
    <xf numFmtId="2" fontId="36" fillId="0" borderId="25" xfId="0" applyNumberFormat="1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vertical="center"/>
    </xf>
    <xf numFmtId="3" fontId="36" fillId="0" borderId="30" xfId="0" applyNumberFormat="1" applyFont="1" applyBorder="1" applyAlignment="1">
      <alignment horizontal="center" vertical="center" wrapText="1"/>
    </xf>
    <xf numFmtId="3" fontId="36" fillId="0" borderId="31" xfId="0" applyNumberFormat="1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0" fontId="36" fillId="0" borderId="0" xfId="0" applyFont="1" applyAlignment="1">
      <alignment horizontal="center" vertical="top" wrapText="1"/>
    </xf>
    <xf numFmtId="0" fontId="30" fillId="0" borderId="27" xfId="0" applyFont="1" applyBorder="1" applyAlignment="1">
      <alignment horizontal="left" vertical="top" wrapText="1"/>
    </xf>
    <xf numFmtId="2" fontId="37" fillId="0" borderId="24" xfId="0" applyNumberFormat="1" applyFont="1" applyBorder="1" applyAlignment="1">
      <alignment horizontal="center" vertical="center" wrapText="1"/>
    </xf>
    <xf numFmtId="2" fontId="37" fillId="0" borderId="22" xfId="0" applyNumberFormat="1" applyFont="1" applyBorder="1" applyAlignment="1">
      <alignment horizontal="center" vertical="center" wrapText="1"/>
    </xf>
    <xf numFmtId="2" fontId="37" fillId="0" borderId="25" xfId="0" applyNumberFormat="1" applyFont="1" applyBorder="1" applyAlignment="1">
      <alignment horizontal="center" vertical="center" wrapText="1"/>
    </xf>
    <xf numFmtId="0" fontId="103" fillId="0" borderId="0" xfId="191" applyFont="1" applyFill="1" applyBorder="1" applyAlignment="1" applyProtection="1">
      <alignment horizontal="right"/>
      <protection/>
    </xf>
    <xf numFmtId="0" fontId="103" fillId="0" borderId="0" xfId="191" applyFont="1" applyFill="1" applyBorder="1" applyProtection="1">
      <alignment/>
      <protection/>
    </xf>
    <xf numFmtId="0" fontId="104" fillId="0" borderId="0" xfId="0" applyFont="1" applyAlignment="1">
      <alignment/>
    </xf>
    <xf numFmtId="0" fontId="40" fillId="58" borderId="0" xfId="180" applyFont="1" applyFill="1" applyAlignment="1">
      <alignment vertical="top" wrapText="1"/>
      <protection/>
    </xf>
    <xf numFmtId="0" fontId="39" fillId="0" borderId="0" xfId="180" applyFont="1" applyFill="1" applyBorder="1" applyAlignment="1">
      <alignment horizontal="center"/>
      <protection/>
    </xf>
    <xf numFmtId="0" fontId="40" fillId="58" borderId="0" xfId="180" applyNumberFormat="1" applyFont="1" applyFill="1" applyBorder="1" applyAlignment="1">
      <alignment horizontal="left" vertical="top" wrapText="1"/>
      <protection/>
    </xf>
    <xf numFmtId="0" fontId="105" fillId="58" borderId="0" xfId="191" applyFont="1" applyFill="1" applyBorder="1" applyAlignment="1" applyProtection="1">
      <alignment horizontal="center" wrapText="1"/>
      <protection locked="0"/>
    </xf>
    <xf numFmtId="0" fontId="105" fillId="0" borderId="0" xfId="191" applyFont="1" applyFill="1" applyBorder="1" applyAlignment="1" applyProtection="1">
      <alignment horizontal="center"/>
      <protection locked="0"/>
    </xf>
    <xf numFmtId="0" fontId="103" fillId="0" borderId="0" xfId="191" applyFont="1" applyFill="1" applyProtection="1">
      <alignment/>
      <protection locked="0"/>
    </xf>
    <xf numFmtId="0" fontId="103" fillId="58" borderId="22" xfId="172" applyFont="1" applyFill="1" applyBorder="1" applyAlignment="1" applyProtection="1">
      <alignment horizontal="center" vertical="center" wrapText="1"/>
      <protection/>
    </xf>
    <xf numFmtId="0" fontId="103" fillId="58" borderId="22" xfId="172" applyFont="1" applyFill="1" applyBorder="1" applyAlignment="1" applyProtection="1">
      <alignment horizontal="center" vertical="top" wrapText="1"/>
      <protection/>
    </xf>
    <xf numFmtId="0" fontId="103" fillId="0" borderId="22" xfId="172" applyFont="1" applyFill="1" applyBorder="1" applyAlignment="1" applyProtection="1">
      <alignment horizontal="center" vertical="center" wrapText="1"/>
      <protection/>
    </xf>
    <xf numFmtId="0" fontId="103" fillId="58" borderId="22" xfId="172" applyFont="1" applyFill="1" applyBorder="1" applyAlignment="1" applyProtection="1">
      <alignment horizontal="right" vertical="top"/>
      <protection/>
    </xf>
    <xf numFmtId="0" fontId="103" fillId="58" borderId="22" xfId="172" applyFont="1" applyFill="1" applyBorder="1" applyAlignment="1" applyProtection="1">
      <alignment vertical="top" wrapText="1"/>
      <protection/>
    </xf>
    <xf numFmtId="4" fontId="103" fillId="58" borderId="22" xfId="172" applyNumberFormat="1" applyFont="1" applyFill="1" applyBorder="1" applyAlignment="1" applyProtection="1">
      <alignment horizontal="center"/>
      <protection/>
    </xf>
    <xf numFmtId="4" fontId="103" fillId="58" borderId="22" xfId="172" applyNumberFormat="1" applyFont="1" applyFill="1" applyBorder="1" applyAlignment="1" applyProtection="1">
      <alignment horizontal="center" vertical="center"/>
      <protection/>
    </xf>
    <xf numFmtId="0" fontId="103" fillId="58" borderId="22" xfId="172" applyFont="1" applyFill="1" applyBorder="1" applyAlignment="1" applyProtection="1">
      <alignment wrapText="1"/>
      <protection/>
    </xf>
    <xf numFmtId="0" fontId="103" fillId="58" borderId="22" xfId="172" applyFont="1" applyFill="1" applyBorder="1" applyAlignment="1" applyProtection="1">
      <alignment horizontal="center" vertical="top"/>
      <protection/>
    </xf>
    <xf numFmtId="0" fontId="103" fillId="0" borderId="22" xfId="0" applyFont="1" applyBorder="1" applyAlignment="1">
      <alignment horizontal="center"/>
    </xf>
    <xf numFmtId="0" fontId="105" fillId="58" borderId="22" xfId="172" applyFont="1" applyFill="1" applyBorder="1" applyAlignment="1" applyProtection="1">
      <alignment vertical="top" wrapText="1"/>
      <protection/>
    </xf>
    <xf numFmtId="0" fontId="105" fillId="0" borderId="22" xfId="0" applyFont="1" applyBorder="1" applyAlignment="1">
      <alignment/>
    </xf>
    <xf numFmtId="0" fontId="105" fillId="0" borderId="22" xfId="0" applyFont="1" applyBorder="1" applyAlignment="1">
      <alignment horizontal="center" vertical="center"/>
    </xf>
    <xf numFmtId="0" fontId="103" fillId="0" borderId="0" xfId="0" applyFont="1" applyAlignment="1">
      <alignment/>
    </xf>
    <xf numFmtId="0" fontId="30" fillId="0" borderId="0" xfId="173" applyFont="1" applyFill="1" applyBorder="1" applyAlignment="1">
      <alignment horizontal="center" vertical="center" wrapText="1"/>
      <protection/>
    </xf>
    <xf numFmtId="0" fontId="29" fillId="0" borderId="0" xfId="173" applyFont="1" applyFill="1" applyAlignment="1">
      <alignment horizontal="left" wrapText="1"/>
      <protection/>
    </xf>
    <xf numFmtId="0" fontId="29" fillId="0" borderId="22" xfId="173" applyFont="1" applyFill="1" applyBorder="1" applyAlignment="1">
      <alignment horizontal="center" vertical="center" wrapText="1"/>
      <protection/>
    </xf>
    <xf numFmtId="0" fontId="29" fillId="0" borderId="33" xfId="173" applyFont="1" applyFill="1" applyBorder="1" applyAlignment="1">
      <alignment horizontal="center" vertical="center" wrapText="1"/>
      <protection/>
    </xf>
    <xf numFmtId="0" fontId="29" fillId="0" borderId="34" xfId="173" applyFont="1" applyFill="1" applyBorder="1" applyAlignment="1">
      <alignment horizontal="center" vertical="center" wrapText="1"/>
      <protection/>
    </xf>
    <xf numFmtId="0" fontId="32" fillId="0" borderId="0" xfId="173" applyFont="1" applyFill="1" applyBorder="1" applyAlignment="1">
      <alignment horizontal="center" vertical="center" wrapText="1"/>
      <protection/>
    </xf>
    <xf numFmtId="0" fontId="32" fillId="0" borderId="0" xfId="173" applyFont="1" applyFill="1" applyAlignment="1">
      <alignment horizontal="left" wrapText="1"/>
      <protection/>
    </xf>
    <xf numFmtId="0" fontId="32" fillId="0" borderId="22" xfId="173" applyFont="1" applyFill="1" applyBorder="1" applyAlignment="1">
      <alignment horizontal="center" vertical="center" wrapText="1"/>
      <protection/>
    </xf>
    <xf numFmtId="0" fontId="31" fillId="0" borderId="22" xfId="173" applyFont="1" applyFill="1" applyBorder="1" applyAlignment="1">
      <alignment horizontal="center" vertical="center" wrapText="1"/>
      <protection/>
    </xf>
    <xf numFmtId="0" fontId="31" fillId="0" borderId="33" xfId="173" applyFont="1" applyFill="1" applyBorder="1" applyAlignment="1">
      <alignment horizontal="center" vertical="center" wrapText="1"/>
      <protection/>
    </xf>
    <xf numFmtId="0" fontId="31" fillId="0" borderId="34" xfId="173" applyFont="1" applyFill="1" applyBorder="1" applyAlignment="1">
      <alignment horizontal="center" vertical="center" wrapText="1"/>
      <protection/>
    </xf>
    <xf numFmtId="0" fontId="35" fillId="0" borderId="0" xfId="173" applyFont="1" applyFill="1" applyBorder="1" applyAlignment="1">
      <alignment horizontal="center" vertical="center" wrapText="1"/>
      <protection/>
    </xf>
    <xf numFmtId="0" fontId="35" fillId="0" borderId="0" xfId="173" applyFont="1" applyFill="1" applyAlignment="1">
      <alignment horizontal="left" wrapText="1"/>
      <protection/>
    </xf>
    <xf numFmtId="0" fontId="35" fillId="0" borderId="22" xfId="173" applyFont="1" applyFill="1" applyBorder="1" applyAlignment="1">
      <alignment horizontal="center" vertical="center" wrapText="1"/>
      <protection/>
    </xf>
    <xf numFmtId="0" fontId="33" fillId="0" borderId="22" xfId="173" applyFont="1" applyFill="1" applyBorder="1" applyAlignment="1">
      <alignment horizontal="center" vertical="center" wrapText="1"/>
      <protection/>
    </xf>
    <xf numFmtId="0" fontId="33" fillId="0" borderId="33" xfId="173" applyFont="1" applyFill="1" applyBorder="1" applyAlignment="1">
      <alignment horizontal="center" vertical="center" wrapText="1"/>
      <protection/>
    </xf>
    <xf numFmtId="0" fontId="33" fillId="0" borderId="34" xfId="173" applyFont="1" applyFill="1" applyBorder="1" applyAlignment="1">
      <alignment horizontal="center" vertical="center" wrapText="1"/>
      <protection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40" fillId="58" borderId="0" xfId="180" applyFont="1" applyFill="1" applyAlignment="1">
      <alignment horizontal="center" vertical="top" wrapText="1"/>
      <protection/>
    </xf>
    <xf numFmtId="0" fontId="103" fillId="58" borderId="22" xfId="172" applyFont="1" applyFill="1" applyBorder="1" applyAlignment="1" applyProtection="1">
      <alignment horizontal="center" vertical="center" wrapText="1"/>
      <protection/>
    </xf>
    <xf numFmtId="0" fontId="103" fillId="58" borderId="33" xfId="172" applyFont="1" applyFill="1" applyBorder="1" applyAlignment="1" applyProtection="1">
      <alignment horizontal="center" vertical="center" wrapText="1"/>
      <protection/>
    </xf>
    <xf numFmtId="0" fontId="103" fillId="58" borderId="44" xfId="172" applyFont="1" applyFill="1" applyBorder="1" applyAlignment="1" applyProtection="1">
      <alignment horizontal="center" vertical="center" wrapText="1"/>
      <protection/>
    </xf>
    <xf numFmtId="0" fontId="103" fillId="58" borderId="34" xfId="172" applyFont="1" applyFill="1" applyBorder="1" applyAlignment="1" applyProtection="1">
      <alignment horizontal="center" vertical="center" wrapText="1"/>
      <protection/>
    </xf>
    <xf numFmtId="0" fontId="103" fillId="58" borderId="45" xfId="172" applyFont="1" applyFill="1" applyBorder="1" applyAlignment="1" applyProtection="1">
      <alignment horizontal="center" vertical="center" wrapText="1"/>
      <protection/>
    </xf>
    <xf numFmtId="0" fontId="103" fillId="58" borderId="46" xfId="172" applyFont="1" applyFill="1" applyBorder="1" applyAlignment="1" applyProtection="1">
      <alignment horizontal="center" vertical="center" wrapText="1"/>
      <protection/>
    </xf>
    <xf numFmtId="0" fontId="103" fillId="58" borderId="47" xfId="172" applyFont="1" applyFill="1" applyBorder="1" applyAlignment="1" applyProtection="1">
      <alignment horizontal="center" vertical="center" wrapText="1"/>
      <protection/>
    </xf>
    <xf numFmtId="0" fontId="103" fillId="58" borderId="48" xfId="172" applyFont="1" applyFill="1" applyBorder="1" applyAlignment="1" applyProtection="1">
      <alignment horizontal="center" vertical="center" wrapText="1"/>
      <protection/>
    </xf>
    <xf numFmtId="0" fontId="105" fillId="0" borderId="23" xfId="191" applyFont="1" applyFill="1" applyBorder="1" applyAlignment="1" applyProtection="1">
      <alignment horizontal="right"/>
      <protection locked="0"/>
    </xf>
    <xf numFmtId="0" fontId="39" fillId="0" borderId="0" xfId="180" applyFont="1" applyFill="1" applyBorder="1" applyAlignment="1">
      <alignment horizontal="center" vertical="center" wrapText="1"/>
      <protection/>
    </xf>
    <xf numFmtId="0" fontId="40" fillId="58" borderId="0" xfId="180" applyFont="1" applyFill="1" applyBorder="1" applyAlignment="1">
      <alignment horizontal="right" vertical="top"/>
      <protection/>
    </xf>
    <xf numFmtId="0" fontId="40" fillId="58" borderId="0" xfId="180" applyNumberFormat="1" applyFont="1" applyFill="1" applyBorder="1" applyAlignment="1">
      <alignment horizontal="left" vertical="top" wrapText="1"/>
      <protection/>
    </xf>
    <xf numFmtId="0" fontId="105" fillId="58" borderId="0" xfId="191" applyFont="1" applyFill="1" applyAlignment="1" applyProtection="1">
      <alignment horizontal="center" wrapText="1"/>
      <protection locked="0"/>
    </xf>
    <xf numFmtId="0" fontId="105" fillId="58" borderId="0" xfId="191" applyFont="1" applyFill="1" applyBorder="1" applyAlignment="1" applyProtection="1">
      <alignment horizontal="center" wrapText="1"/>
      <protection locked="0"/>
    </xf>
    <xf numFmtId="0" fontId="103" fillId="58" borderId="49" xfId="172" applyFont="1" applyFill="1" applyBorder="1" applyAlignment="1" applyProtection="1">
      <alignment horizontal="center" vertical="center" wrapText="1"/>
      <protection/>
    </xf>
    <xf numFmtId="0" fontId="103" fillId="58" borderId="50" xfId="172" applyFont="1" applyFill="1" applyBorder="1" applyAlignment="1" applyProtection="1">
      <alignment horizontal="center" vertical="center" wrapText="1"/>
      <protection/>
    </xf>
    <xf numFmtId="0" fontId="103" fillId="58" borderId="51" xfId="172" applyFont="1" applyFill="1" applyBorder="1" applyAlignment="1" applyProtection="1">
      <alignment horizontal="center" vertical="center" wrapText="1"/>
      <protection/>
    </xf>
    <xf numFmtId="0" fontId="68" fillId="0" borderId="0" xfId="173" applyFont="1" applyFill="1" applyBorder="1" applyAlignment="1">
      <alignment horizontal="left"/>
      <protection/>
    </xf>
    <xf numFmtId="0" fontId="69" fillId="0" borderId="0" xfId="173" applyFont="1" applyFill="1">
      <alignment/>
      <protection/>
    </xf>
    <xf numFmtId="0" fontId="106" fillId="0" borderId="0" xfId="0" applyFont="1" applyAlignment="1">
      <alignment/>
    </xf>
    <xf numFmtId="0" fontId="68" fillId="0" borderId="0" xfId="173" applyFont="1" applyFill="1" applyAlignment="1">
      <alignment horizontal="left"/>
      <protection/>
    </xf>
    <xf numFmtId="0" fontId="68" fillId="0" borderId="0" xfId="173" applyFont="1" applyFill="1" applyBorder="1" applyAlignment="1">
      <alignment/>
      <protection/>
    </xf>
    <xf numFmtId="0" fontId="71" fillId="0" borderId="0" xfId="173" applyFont="1" applyFill="1" applyBorder="1" applyAlignment="1">
      <alignment horizontal="left"/>
      <protection/>
    </xf>
    <xf numFmtId="0" fontId="72" fillId="0" borderId="0" xfId="173" applyFont="1" applyFill="1">
      <alignment/>
      <protection/>
    </xf>
    <xf numFmtId="0" fontId="71" fillId="0" borderId="0" xfId="173" applyFont="1" applyFill="1" applyAlignment="1">
      <alignment horizontal="left"/>
      <protection/>
    </xf>
    <xf numFmtId="0" fontId="71" fillId="0" borderId="0" xfId="173" applyFont="1" applyFill="1" applyBorder="1" applyAlignment="1">
      <alignment/>
      <protection/>
    </xf>
    <xf numFmtId="0" fontId="107" fillId="0" borderId="0" xfId="0" applyFont="1" applyAlignment="1">
      <alignment/>
    </xf>
    <xf numFmtId="16" fontId="74" fillId="0" borderId="0" xfId="0" applyNumberFormat="1" applyFont="1" applyAlignment="1">
      <alignment horizontal="left" vertical="top" wrapText="1"/>
    </xf>
    <xf numFmtId="0" fontId="74" fillId="0" borderId="0" xfId="0" applyFont="1" applyAlignment="1">
      <alignment horizontal="left" vertical="top" wrapText="1"/>
    </xf>
    <xf numFmtId="0" fontId="74" fillId="0" borderId="0" xfId="0" applyFont="1" applyAlignment="1">
      <alignment horizontal="center" vertical="top" wrapText="1"/>
    </xf>
  </cellXfs>
  <cellStyles count="2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alculation 2" xfId="77"/>
    <cellStyle name="Check Cell" xfId="78"/>
    <cellStyle name="Comma 2" xfId="79"/>
    <cellStyle name="Excel Built-in Normal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Input 2" xfId="88"/>
    <cellStyle name="Linked Cell" xfId="89"/>
    <cellStyle name="Neutral" xfId="90"/>
    <cellStyle name="Note" xfId="91"/>
    <cellStyle name="Note 2" xfId="92"/>
    <cellStyle name="Output" xfId="93"/>
    <cellStyle name="Output 2" xfId="94"/>
    <cellStyle name="Title" xfId="95"/>
    <cellStyle name="Total" xfId="96"/>
    <cellStyle name="Total 2" xfId="97"/>
    <cellStyle name="Warning Text" xfId="98"/>
    <cellStyle name="Акцент1" xfId="99"/>
    <cellStyle name="Акцент1 2" xfId="100"/>
    <cellStyle name="Акцент2" xfId="101"/>
    <cellStyle name="Акцент2 2" xfId="102"/>
    <cellStyle name="Акцент3" xfId="103"/>
    <cellStyle name="Акцент3 2" xfId="104"/>
    <cellStyle name="Акцент4" xfId="105"/>
    <cellStyle name="Акцент4 2" xfId="106"/>
    <cellStyle name="Акцент5" xfId="107"/>
    <cellStyle name="Акцент5 2" xfId="108"/>
    <cellStyle name="Акцент6" xfId="109"/>
    <cellStyle name="Акцент6 2" xfId="110"/>
    <cellStyle name="Ввод " xfId="111"/>
    <cellStyle name="Ввод  2" xfId="112"/>
    <cellStyle name="Відсотковий 2" xfId="113"/>
    <cellStyle name="Вывод" xfId="114"/>
    <cellStyle name="Вывод 2" xfId="115"/>
    <cellStyle name="Вычисление" xfId="116"/>
    <cellStyle name="Вычисление 2" xfId="117"/>
    <cellStyle name="Currency" xfId="118"/>
    <cellStyle name="Currency [0]" xfId="119"/>
    <cellStyle name="Денежный 2" xfId="120"/>
    <cellStyle name="Денежный 3" xfId="121"/>
    <cellStyle name="Денежный 4" xfId="122"/>
    <cellStyle name="Заголовок 1" xfId="123"/>
    <cellStyle name="Заголовок 1 2" xfId="124"/>
    <cellStyle name="Заголовок 1 3" xfId="125"/>
    <cellStyle name="Заголовок 2" xfId="126"/>
    <cellStyle name="Заголовок 2 2" xfId="127"/>
    <cellStyle name="Заголовок 2 3" xfId="128"/>
    <cellStyle name="Заголовок 3" xfId="129"/>
    <cellStyle name="Заголовок 3 2" xfId="130"/>
    <cellStyle name="Заголовок 3 3" xfId="131"/>
    <cellStyle name="Заголовок 4" xfId="132"/>
    <cellStyle name="Заголовок 4 2" xfId="133"/>
    <cellStyle name="Заголовок 4 3" xfId="134"/>
    <cellStyle name="Звичайний 2" xfId="135"/>
    <cellStyle name="Звичайний 2 2" xfId="136"/>
    <cellStyle name="Звичайний 3" xfId="137"/>
    <cellStyle name="Звичайний 3 2" xfId="138"/>
    <cellStyle name="Звичайний 3 3" xfId="139"/>
    <cellStyle name="Звичайний 3 4" xfId="140"/>
    <cellStyle name="Звичайний 3 5" xfId="141"/>
    <cellStyle name="Звичайний 3 6" xfId="142"/>
    <cellStyle name="Звичайний 3 6 2" xfId="143"/>
    <cellStyle name="Звичайний 3 7" xfId="144"/>
    <cellStyle name="Звичайний 3 8" xfId="145"/>
    <cellStyle name="Звичайний 4" xfId="146"/>
    <cellStyle name="Звичайний 4 2" xfId="147"/>
    <cellStyle name="Звичайний 4 3" xfId="148"/>
    <cellStyle name="Звичайний 5" xfId="149"/>
    <cellStyle name="Звичайний 5 2" xfId="150"/>
    <cellStyle name="Звичайний 6" xfId="151"/>
    <cellStyle name="Звичайний 7" xfId="152"/>
    <cellStyle name="Звичайний 8" xfId="153"/>
    <cellStyle name="Итог" xfId="154"/>
    <cellStyle name="Итог 2" xfId="155"/>
    <cellStyle name="Контрольная ячейка" xfId="156"/>
    <cellStyle name="Контрольная ячейка 2" xfId="157"/>
    <cellStyle name="Название" xfId="158"/>
    <cellStyle name="Название 2" xfId="159"/>
    <cellStyle name="Нейтральный" xfId="160"/>
    <cellStyle name="Нейтральный 2" xfId="161"/>
    <cellStyle name="Обычный 10" xfId="162"/>
    <cellStyle name="Обычный 10 2" xfId="163"/>
    <cellStyle name="Обычный 10 3" xfId="164"/>
    <cellStyle name="Обычный 10 4" xfId="165"/>
    <cellStyle name="Обычный 10 5" xfId="166"/>
    <cellStyle name="Обычный 11" xfId="167"/>
    <cellStyle name="Обычный 11 2" xfId="168"/>
    <cellStyle name="Обычный 11 3" xfId="169"/>
    <cellStyle name="Обычный 12" xfId="170"/>
    <cellStyle name="Обычный 13" xfId="171"/>
    <cellStyle name="Обычный 14" xfId="172"/>
    <cellStyle name="Обычный 19" xfId="173"/>
    <cellStyle name="Обычный 2" xfId="174"/>
    <cellStyle name="Обычный 2 10" xfId="175"/>
    <cellStyle name="Обычный 2 11" xfId="176"/>
    <cellStyle name="Обычный 2 12" xfId="177"/>
    <cellStyle name="Обычный 2 13" xfId="178"/>
    <cellStyle name="Обычный 2 14" xfId="179"/>
    <cellStyle name="Обычный 2 15" xfId="180"/>
    <cellStyle name="Обычный 2 16" xfId="181"/>
    <cellStyle name="Обычный 2 2" xfId="182"/>
    <cellStyle name="Обычный 2 2 2" xfId="183"/>
    <cellStyle name="Обычный 2 2 2 2" xfId="184"/>
    <cellStyle name="Обычный 2 2 2 3" xfId="185"/>
    <cellStyle name="Обычный 2 2 2 4" xfId="186"/>
    <cellStyle name="Обычный 2 2 2 5" xfId="187"/>
    <cellStyle name="Обычный 2 2 2 6" xfId="188"/>
    <cellStyle name="Обычный 2 2 2 7" xfId="189"/>
    <cellStyle name="Обычный 2 2 2 8" xfId="190"/>
    <cellStyle name="Обычный 2 2 3" xfId="191"/>
    <cellStyle name="Обычный 2 2 3 2" xfId="192"/>
    <cellStyle name="Обычный 2 2 4" xfId="193"/>
    <cellStyle name="Обычный 2 2 5" xfId="194"/>
    <cellStyle name="Обычный 2 2 6" xfId="195"/>
    <cellStyle name="Обычный 2 2 7" xfId="196"/>
    <cellStyle name="Обычный 2 2 8" xfId="197"/>
    <cellStyle name="Обычный 2 2_Расшифровка плановых затрат по ПЕ на 2012г" xfId="198"/>
    <cellStyle name="Обычный 2 3" xfId="199"/>
    <cellStyle name="Обычный 2 3 2" xfId="200"/>
    <cellStyle name="Обычный 2 3 3" xfId="201"/>
    <cellStyle name="Обычный 2 3 4" xfId="202"/>
    <cellStyle name="Обычный 2 4" xfId="203"/>
    <cellStyle name="Обычный 2 4 2" xfId="204"/>
    <cellStyle name="Обычный 2 5" xfId="205"/>
    <cellStyle name="Обычный 2 5 2" xfId="206"/>
    <cellStyle name="Обычный 2 6" xfId="207"/>
    <cellStyle name="Обычный 2 7" xfId="208"/>
    <cellStyle name="Обычный 2 8" xfId="209"/>
    <cellStyle name="Обычный 2 9" xfId="210"/>
    <cellStyle name="Обычный 3" xfId="211"/>
    <cellStyle name="Обычный 3 2" xfId="212"/>
    <cellStyle name="Обычный 3 2 2" xfId="213"/>
    <cellStyle name="Обычный 3 3" xfId="214"/>
    <cellStyle name="Обычный 3 3 2" xfId="215"/>
    <cellStyle name="Обычный 3 3 3" xfId="216"/>
    <cellStyle name="Обычный 3 4" xfId="217"/>
    <cellStyle name="Обычный 3 4 2" xfId="218"/>
    <cellStyle name="Обычный 3 4 3" xfId="219"/>
    <cellStyle name="Обычный 3 5" xfId="220"/>
    <cellStyle name="Обычный 3 5 2" xfId="221"/>
    <cellStyle name="Обычный 3 6" xfId="222"/>
    <cellStyle name="Обычный 3 7" xfId="223"/>
    <cellStyle name="Обычный 3 8" xfId="224"/>
    <cellStyle name="Обычный 3 9" xfId="225"/>
    <cellStyle name="Обычный 3_Расшифровка плановых затрат по ПЕ на 2012г" xfId="226"/>
    <cellStyle name="Обычный 4" xfId="227"/>
    <cellStyle name="Обычный 4 2" xfId="228"/>
    <cellStyle name="Обычный 4 2 2" xfId="229"/>
    <cellStyle name="Обычный 4 2 3" xfId="230"/>
    <cellStyle name="Обычный 4 3" xfId="231"/>
    <cellStyle name="Обычный 4 3 2" xfId="232"/>
    <cellStyle name="Обычный 4 4" xfId="233"/>
    <cellStyle name="Обычный 4 5" xfId="234"/>
    <cellStyle name="Обычный 5" xfId="235"/>
    <cellStyle name="Обычный 5 2" xfId="236"/>
    <cellStyle name="Обычный 5 3" xfId="237"/>
    <cellStyle name="Обычный 6" xfId="238"/>
    <cellStyle name="Обычный 6 2" xfId="239"/>
    <cellStyle name="Обычный 6 3" xfId="240"/>
    <cellStyle name="Обычный 7" xfId="241"/>
    <cellStyle name="Обычный 7 2" xfId="242"/>
    <cellStyle name="Обычный 8" xfId="243"/>
    <cellStyle name="Обычный 8 2" xfId="244"/>
    <cellStyle name="Обычный 8 2 2" xfId="245"/>
    <cellStyle name="Обычный 8 3" xfId="246"/>
    <cellStyle name="Обычный 8 4" xfId="247"/>
    <cellStyle name="Обычный 9" xfId="248"/>
    <cellStyle name="Обычный 9 2" xfId="249"/>
    <cellStyle name="Плохой" xfId="250"/>
    <cellStyle name="Плохой 2" xfId="251"/>
    <cellStyle name="Пояснение" xfId="252"/>
    <cellStyle name="Пояснение 2" xfId="253"/>
    <cellStyle name="Примечание" xfId="254"/>
    <cellStyle name="Примечание 2" xfId="255"/>
    <cellStyle name="Percent" xfId="256"/>
    <cellStyle name="Процентный 2" xfId="257"/>
    <cellStyle name="Процентный 2 2" xfId="258"/>
    <cellStyle name="Процентный 2 2 2" xfId="259"/>
    <cellStyle name="Процентный 2 3" xfId="260"/>
    <cellStyle name="Процентный 3" xfId="261"/>
    <cellStyle name="Процентный 3 2" xfId="262"/>
    <cellStyle name="Процентный 4" xfId="263"/>
    <cellStyle name="Процентный 5" xfId="264"/>
    <cellStyle name="Связанная ячейка" xfId="265"/>
    <cellStyle name="Связанная ячейка 2" xfId="266"/>
    <cellStyle name="Текст предупреждения" xfId="267"/>
    <cellStyle name="Текст предупреждения 2" xfId="268"/>
    <cellStyle name="Тысячи [0]_maket10" xfId="269"/>
    <cellStyle name="Тысячи_maket10" xfId="270"/>
    <cellStyle name="Comma" xfId="271"/>
    <cellStyle name="Comma [0]" xfId="272"/>
    <cellStyle name="Финансовый [0] 2" xfId="273"/>
    <cellStyle name="Финансовый 2" xfId="274"/>
    <cellStyle name="Финансовый 2 2" xfId="275"/>
    <cellStyle name="Финансовый 2 2 2" xfId="276"/>
    <cellStyle name="Финансовый 2 3" xfId="277"/>
    <cellStyle name="Финансовый 2 4" xfId="278"/>
    <cellStyle name="Финансовый 2 5" xfId="279"/>
    <cellStyle name="Финансовый 2 6" xfId="280"/>
    <cellStyle name="Финансовый 3" xfId="281"/>
    <cellStyle name="Финансовый 3 2" xfId="282"/>
    <cellStyle name="Финансовый 3 3" xfId="283"/>
    <cellStyle name="Финансовый 3 4" xfId="284"/>
    <cellStyle name="Финансовый 4" xfId="285"/>
    <cellStyle name="Фінансовий 2" xfId="286"/>
    <cellStyle name="Хороший" xfId="287"/>
    <cellStyle name="Хороший 2" xfId="28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%202017%20&#1090;&#1077;&#1087;&#1083;&#1086;\&#1062;&#1077;&#1090;&#1088;&#1072;&#1083;&#1110;&#1079;&#1086;&#1074;&#1072;&#1085;&#1072;%20&#1087;&#1086;&#1089;&#1083;&#1091;&#1075;&#1072;%20&#1090;&#1077;&#1087;&#1083;&#1086;%202017\&#1060;&#1048;&#1053;&#1048;&#1064;%20&#1058;&#1077;&#1087;&#1083;&#1086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%202017%20&#1090;&#1077;&#1087;&#1083;&#1086;\&#1056;&#1086;&#1079;&#1088;&#1072;&#1093;&#1091;&#1085;&#1082;&#1080;%20&#1090;&#1072;&#1088;&#1080;&#1092;&#1110;&#1074;%20&#1050;&#1055;%20&#1055;&#1088;&#1080;&#1083;&#1091;&#1082;&#1080;&#1090;&#1077;&#1087;&#1083;&#1086;&#1074;&#1086;&#1076;&#1086;&#1087;&#1086;&#1090;&#1089;&#1072;&#1095;&#1072;&#1085;&#1085;&#1103;%202016%20&#1088;&#1110;&#1082;\&#1044;&#1086;&#1076;&#1072;&#1090;&#1086;&#1082;%209%20&#1047;&#1072;&#1075;&#1072;&#1083;&#1100;&#1085;.&#1074;&#1080;&#108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%202017%20&#1090;&#1077;&#1087;&#1083;&#1086;\&#1056;&#1086;&#1079;&#1088;&#1072;&#1093;&#1091;&#1085;&#1082;&#1080;%20&#1090;&#1072;&#1088;&#1080;&#1092;&#1110;&#1074;%20&#1050;&#1055;%20&#1055;&#1088;&#1080;&#1083;&#1091;&#1082;&#1080;&#1090;&#1077;&#1087;&#1083;&#1086;&#1074;&#1086;&#1076;&#1086;&#1087;&#1086;&#1090;&#1089;&#1072;&#1095;&#1072;&#1085;&#1085;&#1103;%202016%20&#1088;&#1110;&#1082;\&#1044;&#1086;&#1076;&#1072;&#1090;&#1086;&#1082;%2010%20&#1072;&#1076;&#1084;&#1110;&#1085;&#1110;&#1089;&#1090;&#1088;.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%202017%20&#1090;&#1077;&#1087;&#1083;&#1086;\&#1062;&#1077;&#1090;&#1088;&#1072;&#1083;&#1110;&#1079;&#1086;&#1074;&#1072;&#1085;&#1072;%20&#1087;&#1086;&#1089;&#1083;&#1091;&#1075;&#1072;%20&#1090;&#1077;&#1087;&#1083;&#1086;%202017\&#1060;&#1048;&#1053;&#1048;&#1064;%20&#1058;&#1077;&#1087;&#1083;&#1086;%202017%20&#1073;&#1077;&#1079;%20&#1083;&#1110;&#1095;&#1080;&#1083;&#1100;&#1085;&#1080;&#1082;&#1110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СТРУКЦІЯ"/>
      <sheetName val="1_Структура по елементах"/>
      <sheetName val="2_ФОП"/>
      <sheetName val="3_Розподіл пл.соб."/>
      <sheetName val="5_Розрахунок тарифів"/>
      <sheetName val="4_Структура пл.соб.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Д3_послуга"/>
      <sheetName val="Д4_послуга"/>
      <sheetName val="ГВП_БІРО"/>
      <sheetName val="соб_послОдн"/>
      <sheetName val="соб Коміс_ДВ"/>
      <sheetName val="собіварт_посл_БІРО"/>
      <sheetName val="послуга_Н_Однст"/>
      <sheetName val="послуга_Н_ДВ"/>
      <sheetName val="Послуга_БІРО"/>
      <sheetName val="Лист6"/>
      <sheetName val="структ.посл.нас."/>
      <sheetName val="структ.ГВП інш."/>
      <sheetName val="стр.теп.ен.нас."/>
      <sheetName val="стр.теп.ен.бюдж."/>
      <sheetName val="стр.теп.ен.інш."/>
      <sheetName val="стр.теп.ен.рел."/>
      <sheetName val="порівняння"/>
    </sheetNames>
    <sheetDataSet>
      <sheetData sheetId="4">
        <row r="17">
          <cell r="Q17">
            <v>0</v>
          </cell>
          <cell r="V17">
            <v>0</v>
          </cell>
        </row>
        <row r="21">
          <cell r="Q21">
            <v>0</v>
          </cell>
          <cell r="V21">
            <v>0</v>
          </cell>
        </row>
      </sheetData>
      <sheetData sheetId="7">
        <row r="10">
          <cell r="T10">
            <v>2.118050420168067</v>
          </cell>
        </row>
        <row r="11">
          <cell r="T11">
            <v>0.3756628824304919</v>
          </cell>
        </row>
        <row r="13">
          <cell r="T13">
            <v>0.000852883098022734</v>
          </cell>
        </row>
        <row r="14">
          <cell r="T14">
            <v>0.05925105867213006</v>
          </cell>
        </row>
        <row r="15">
          <cell r="T15">
            <v>0.4654611352133542</v>
          </cell>
        </row>
        <row r="16">
          <cell r="T16">
            <v>0.15045849409841108</v>
          </cell>
        </row>
        <row r="17">
          <cell r="T17">
            <v>0.10240144951146757</v>
          </cell>
        </row>
        <row r="18">
          <cell r="T18">
            <v>0.017590141350641304</v>
          </cell>
        </row>
        <row r="20">
          <cell r="T20">
            <v>0.010329278707870326</v>
          </cell>
        </row>
        <row r="21">
          <cell r="T21">
            <v>0.0043585654236521125</v>
          </cell>
        </row>
        <row r="22">
          <cell r="T22">
            <v>0.0009588843652434749</v>
          </cell>
        </row>
        <row r="24">
          <cell r="T24">
            <v>0.09897208747174703</v>
          </cell>
        </row>
        <row r="25">
          <cell r="T25">
            <v>0.07624526617970746</v>
          </cell>
        </row>
        <row r="26">
          <cell r="T26">
            <v>0.01677395856885564</v>
          </cell>
        </row>
        <row r="36">
          <cell r="T36">
            <v>0</v>
          </cell>
        </row>
        <row r="39">
          <cell r="T39">
            <v>0</v>
          </cell>
        </row>
        <row r="43">
          <cell r="H43">
            <v>73045.29999999999</v>
          </cell>
          <cell r="T43">
            <v>4.300000000000001</v>
          </cell>
        </row>
      </sheetData>
      <sheetData sheetId="8">
        <row r="12">
          <cell r="G12">
            <v>32.9579625</v>
          </cell>
        </row>
        <row r="14">
          <cell r="G14">
            <v>137.86151738666663</v>
          </cell>
        </row>
        <row r="15">
          <cell r="G15">
            <v>1844.22986729</v>
          </cell>
        </row>
        <row r="16">
          <cell r="G16">
            <v>2175.56588</v>
          </cell>
        </row>
        <row r="17">
          <cell r="G17">
            <v>1254.9359954000004</v>
          </cell>
        </row>
        <row r="18">
          <cell r="G18">
            <v>478.62449</v>
          </cell>
        </row>
        <row r="19">
          <cell r="G19">
            <v>478.8910500000004</v>
          </cell>
        </row>
        <row r="21">
          <cell r="G21">
            <v>10.900739999999999</v>
          </cell>
        </row>
        <row r="22">
          <cell r="G22">
            <v>4.599699101764488</v>
          </cell>
        </row>
        <row r="23">
          <cell r="G23">
            <v>1.0119337728813362</v>
          </cell>
        </row>
        <row r="25">
          <cell r="G25">
            <v>104.44763</v>
          </cell>
        </row>
        <row r="26">
          <cell r="G26">
            <v>80.46346641276133</v>
          </cell>
        </row>
        <row r="27">
          <cell r="G27">
            <v>17.701962620643116</v>
          </cell>
        </row>
        <row r="53">
          <cell r="G53">
            <v>73045.29999999999</v>
          </cell>
        </row>
        <row r="56">
          <cell r="G56">
            <v>4.300000000000001</v>
          </cell>
        </row>
      </sheetData>
      <sheetData sheetId="9">
        <row r="10">
          <cell r="G10">
            <v>0</v>
          </cell>
        </row>
        <row r="11">
          <cell r="G11">
            <v>66.07668</v>
          </cell>
        </row>
        <row r="13">
          <cell r="G13">
            <v>14.53687</v>
          </cell>
        </row>
        <row r="14">
          <cell r="G14">
            <v>0</v>
          </cell>
        </row>
        <row r="15">
          <cell r="G15">
            <v>0.0375596</v>
          </cell>
        </row>
        <row r="16">
          <cell r="G16">
            <v>0.16144</v>
          </cell>
        </row>
        <row r="17">
          <cell r="G17">
            <v>0.06812365199053205</v>
          </cell>
        </row>
        <row r="18">
          <cell r="G18">
            <v>0.014987203000907064</v>
          </cell>
        </row>
        <row r="20">
          <cell r="G20">
            <v>1.54692</v>
          </cell>
        </row>
        <row r="21">
          <cell r="G21">
            <v>1.1917007452950423</v>
          </cell>
        </row>
        <row r="22">
          <cell r="G22">
            <v>0.26217416411057937</v>
          </cell>
        </row>
        <row r="39">
          <cell r="G39">
            <v>73045.29999999999</v>
          </cell>
        </row>
        <row r="40">
          <cell r="G40">
            <v>56527</v>
          </cell>
        </row>
        <row r="42">
          <cell r="G42">
            <v>4.300000000000001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9 (2)"/>
      <sheetName val="9 (4)"/>
      <sheetName val="9 (3)"/>
      <sheetName val="Лист2"/>
      <sheetName val="Лист3"/>
    </sheetNames>
    <sheetDataSet>
      <sheetData sheetId="3">
        <row r="12">
          <cell r="V12">
            <v>24.06</v>
          </cell>
          <cell r="W12">
            <v>1.49</v>
          </cell>
          <cell r="X12">
            <v>0.020000000000001572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  <sheetName val="10 (2)"/>
      <sheetName val="10 (3)"/>
      <sheetName val="Лист2"/>
      <sheetName val="Лист3"/>
    </sheetNames>
    <sheetDataSet>
      <sheetData sheetId="2">
        <row r="17">
          <cell r="W17">
            <v>5.03275016823512</v>
          </cell>
          <cell r="X17">
            <v>0.31261933146553295</v>
          </cell>
          <cell r="Y17">
            <v>0.0046305002993463126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ІНСТРУКЦІЯ"/>
      <sheetName val="1_Структура по елементах"/>
      <sheetName val="2_ФОП"/>
      <sheetName val="3_Розподіл пл.соб."/>
      <sheetName val="5_Розрахунок тарифів"/>
      <sheetName val="4_Структура пл.соб.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Д3_послуга"/>
      <sheetName val="Д4_послуга"/>
      <sheetName val="ГВП_БІРО"/>
      <sheetName val="соб_послОдн"/>
      <sheetName val="соб Коміс_ДВ"/>
      <sheetName val="собіварт_посл_БІРО"/>
      <sheetName val="послуга_Н_Однст"/>
      <sheetName val="послуга_Н_ДВ"/>
      <sheetName val="Послуга_БІРО"/>
      <sheetName val="Лист6"/>
      <sheetName val="структ.посл.нас."/>
      <sheetName val="структ.ГВП інш."/>
      <sheetName val="стр.теп.ен.нас."/>
      <sheetName val="стр.теп.ен.бюдж."/>
      <sheetName val="стр.теп.ен.інш."/>
      <sheetName val="стр.теп.ен.рел."/>
      <sheetName val="Лист2"/>
    </sheetNames>
    <sheetDataSet>
      <sheetData sheetId="7">
        <row r="10">
          <cell r="L10">
            <v>48122.19605405043</v>
          </cell>
          <cell r="P10">
            <v>18135.61816931093</v>
          </cell>
          <cell r="X10">
            <v>3530.4065367731096</v>
          </cell>
        </row>
        <row r="11">
          <cell r="L11">
            <v>4938.394361662421</v>
          </cell>
          <cell r="P11">
            <v>1220.2054602108556</v>
          </cell>
          <cell r="X11">
            <v>222.51473524429366</v>
          </cell>
        </row>
        <row r="13">
          <cell r="L13">
            <v>11.211842530681647</v>
          </cell>
          <cell r="P13">
            <v>2.77028330932175</v>
          </cell>
          <cell r="X13">
            <v>0.5051844768985821</v>
          </cell>
        </row>
        <row r="14">
          <cell r="L14">
            <v>778.9033938510454</v>
          </cell>
          <cell r="P14">
            <v>192.45570615666057</v>
          </cell>
          <cell r="X14">
            <v>35.095917776259355</v>
          </cell>
        </row>
        <row r="15">
          <cell r="L15">
            <v>6118.865486094248</v>
          </cell>
          <cell r="P15">
            <v>1511.8827152383526</v>
          </cell>
          <cell r="X15">
            <v>275.704537532189</v>
          </cell>
        </row>
        <row r="16">
          <cell r="L16">
            <v>1977.89937113974</v>
          </cell>
          <cell r="P16">
            <v>488.71018304011795</v>
          </cell>
          <cell r="X16">
            <v>89.12041499271001</v>
          </cell>
        </row>
        <row r="17">
          <cell r="L17">
            <v>1346.1504038452852</v>
          </cell>
          <cell r="P17">
            <v>332.614196587597</v>
          </cell>
          <cell r="X17">
            <v>60.654998117606475</v>
          </cell>
        </row>
        <row r="18">
          <cell r="L18">
            <v>231.23672561109322</v>
          </cell>
          <cell r="P18">
            <v>57.135233545210944</v>
          </cell>
          <cell r="X18">
            <v>10.419090702344976</v>
          </cell>
        </row>
        <row r="20">
          <cell r="L20">
            <v>135.78677616739202</v>
          </cell>
          <cell r="P20">
            <v>33.55093853786624</v>
          </cell>
          <cell r="X20">
            <v>6.118296016033886</v>
          </cell>
        </row>
        <row r="21">
          <cell r="L21">
            <v>57.296890163437894</v>
          </cell>
          <cell r="P21">
            <v>14.15722866794164</v>
          </cell>
          <cell r="X21">
            <v>2.581689798614402</v>
          </cell>
        </row>
        <row r="22">
          <cell r="L22">
            <v>12.60531546839951</v>
          </cell>
          <cell r="P22">
            <v>3.114590216129212</v>
          </cell>
          <cell r="X22">
            <v>0.5679717391337512</v>
          </cell>
        </row>
        <row r="24">
          <cell r="L24">
            <v>1301.0686484919634</v>
          </cell>
          <cell r="P24">
            <v>321.47515016695127</v>
          </cell>
          <cell r="X24">
            <v>58.623699253613864</v>
          </cell>
        </row>
        <row r="25">
          <cell r="L25">
            <v>1002.3060840326332</v>
          </cell>
          <cell r="P25">
            <v>247.65526342604045</v>
          </cell>
          <cell r="X25">
            <v>45.16202161853834</v>
          </cell>
        </row>
        <row r="26">
          <cell r="L26">
            <v>220.5073386096983</v>
          </cell>
          <cell r="P26">
            <v>54.48415798400156</v>
          </cell>
          <cell r="X26">
            <v>9.93564476159891</v>
          </cell>
        </row>
        <row r="36">
          <cell r="L36">
            <v>189.51568441668965</v>
          </cell>
          <cell r="P36">
            <v>46.826570740494</v>
          </cell>
          <cell r="X36">
            <v>8.553635707755575</v>
          </cell>
        </row>
        <row r="39">
          <cell r="L39">
            <v>863.3492290093641</v>
          </cell>
          <cell r="P39">
            <v>213.32104448447268</v>
          </cell>
          <cell r="X39">
            <v>38.966562668664295</v>
          </cell>
        </row>
        <row r="43">
          <cell r="H43">
            <v>73045.29999999999</v>
          </cell>
          <cell r="L43">
            <v>56527</v>
          </cell>
          <cell r="P43">
            <v>13967</v>
          </cell>
          <cell r="X43">
            <v>2547</v>
          </cell>
        </row>
      </sheetData>
      <sheetData sheetId="8">
        <row r="12">
          <cell r="G12">
            <v>32.9579625</v>
          </cell>
        </row>
        <row r="14">
          <cell r="G14">
            <v>137.86151738666663</v>
          </cell>
        </row>
        <row r="15">
          <cell r="G15">
            <v>1844.22986729</v>
          </cell>
        </row>
        <row r="16">
          <cell r="G16">
            <v>2175.56588</v>
          </cell>
        </row>
        <row r="17">
          <cell r="G17">
            <v>1254.9359954000004</v>
          </cell>
        </row>
        <row r="18">
          <cell r="G18">
            <v>478.62449</v>
          </cell>
        </row>
        <row r="19">
          <cell r="G19">
            <v>478.8910500000004</v>
          </cell>
        </row>
        <row r="21">
          <cell r="G21">
            <v>10.900739999999999</v>
          </cell>
        </row>
        <row r="22">
          <cell r="G22">
            <v>4.599699101764488</v>
          </cell>
        </row>
        <row r="23">
          <cell r="G23">
            <v>1.0119337728813362</v>
          </cell>
        </row>
        <row r="25">
          <cell r="G25">
            <v>104.44763</v>
          </cell>
        </row>
        <row r="26">
          <cell r="G26">
            <v>80.46346641276133</v>
          </cell>
        </row>
        <row r="27">
          <cell r="G27">
            <v>17.701962620643116</v>
          </cell>
        </row>
        <row r="36">
          <cell r="G36">
            <v>84.52036572362482</v>
          </cell>
        </row>
        <row r="37">
          <cell r="G37">
            <v>15.213665830252467</v>
          </cell>
        </row>
        <row r="40">
          <cell r="G40">
            <v>69.30669989337235</v>
          </cell>
        </row>
        <row r="53">
          <cell r="G53">
            <v>73045.29999999999</v>
          </cell>
        </row>
        <row r="54">
          <cell r="G54">
            <v>56527</v>
          </cell>
        </row>
        <row r="55">
          <cell r="G55">
            <v>13967</v>
          </cell>
        </row>
        <row r="57">
          <cell r="G57">
            <v>2547</v>
          </cell>
        </row>
      </sheetData>
      <sheetData sheetId="9">
        <row r="10">
          <cell r="G10">
            <v>0</v>
          </cell>
        </row>
        <row r="11">
          <cell r="G11">
            <v>66.07668</v>
          </cell>
        </row>
        <row r="13">
          <cell r="G13">
            <v>14.53687</v>
          </cell>
        </row>
        <row r="14">
          <cell r="G14">
            <v>0</v>
          </cell>
        </row>
        <row r="15">
          <cell r="G15">
            <v>0.0375596</v>
          </cell>
        </row>
        <row r="16">
          <cell r="G16">
            <v>0.16144</v>
          </cell>
        </row>
        <row r="17">
          <cell r="G17">
            <v>0.06812365199053205</v>
          </cell>
        </row>
        <row r="18">
          <cell r="G18">
            <v>0.014987203000907064</v>
          </cell>
        </row>
        <row r="20">
          <cell r="G20">
            <v>1.54692</v>
          </cell>
        </row>
        <row r="21">
          <cell r="G21">
            <v>1.1917007452950423</v>
          </cell>
        </row>
        <row r="22">
          <cell r="G22">
            <v>0.26217416411057937</v>
          </cell>
        </row>
        <row r="31">
          <cell r="G31">
            <v>1.251785297715407</v>
          </cell>
        </row>
        <row r="32">
          <cell r="G32">
            <v>0.22532135358877317</v>
          </cell>
        </row>
        <row r="35">
          <cell r="G35">
            <v>1.0264639441266337</v>
          </cell>
        </row>
        <row r="39">
          <cell r="G39">
            <v>73045.29999999999</v>
          </cell>
        </row>
        <row r="40">
          <cell r="G40">
            <v>56527</v>
          </cell>
        </row>
        <row r="41">
          <cell r="G41">
            <v>13967</v>
          </cell>
        </row>
        <row r="43">
          <cell r="G43">
            <v>2547</v>
          </cell>
        </row>
      </sheetData>
      <sheetData sheetId="14">
        <row r="3">
          <cell r="B3" t="str">
            <v>КП Прилукитепловодопостачання</v>
          </cell>
        </row>
      </sheetData>
      <sheetData sheetId="18">
        <row r="2">
          <cell r="A2" t="str">
            <v>КП Прилукитепловодопостачання</v>
          </cell>
        </row>
        <row r="9">
          <cell r="H9">
            <v>1198.5700000000002</v>
          </cell>
          <cell r="J9">
            <v>187.75311238795192</v>
          </cell>
          <cell r="N9">
            <v>62.425788874814835</v>
          </cell>
          <cell r="P9">
            <v>55.422775234649926</v>
          </cell>
        </row>
        <row r="10">
          <cell r="H10">
            <v>5.324246096208796</v>
          </cell>
          <cell r="J10">
            <v>0.83403036592156</v>
          </cell>
          <cell r="N10">
            <v>0.30178204340637405</v>
          </cell>
          <cell r="P10">
            <v>0.270673391547893</v>
          </cell>
        </row>
        <row r="11">
          <cell r="H11">
            <v>3.8391534415826536</v>
          </cell>
          <cell r="J11">
            <v>0.6013941677099045</v>
          </cell>
          <cell r="N11">
            <v>0.21760593887206212</v>
          </cell>
          <cell r="P11">
            <v>0.1951744273139231</v>
          </cell>
        </row>
        <row r="12">
          <cell r="H12">
            <v>0.8446137571481839</v>
          </cell>
          <cell r="J12">
            <v>0.13230671689617898</v>
          </cell>
          <cell r="N12">
            <v>0.04787330655185367</v>
          </cell>
          <cell r="P12">
            <v>0.04293837400906308</v>
          </cell>
        </row>
        <row r="13">
          <cell r="H13">
            <v>0.6404788974779584</v>
          </cell>
          <cell r="J13">
            <v>0.10032948131547648</v>
          </cell>
          <cell r="N13">
            <v>0.03630279798245824</v>
          </cell>
          <cell r="P13">
            <v>0.03256059022490679</v>
          </cell>
        </row>
        <row r="14">
          <cell r="H14">
            <v>0</v>
          </cell>
          <cell r="J14">
            <v>0</v>
          </cell>
          <cell r="N14">
            <v>0</v>
          </cell>
          <cell r="P14">
            <v>0</v>
          </cell>
        </row>
        <row r="15">
          <cell r="N15">
            <v>5.510008462414983</v>
          </cell>
          <cell r="P15">
            <v>5.509984266937853</v>
          </cell>
        </row>
        <row r="16">
          <cell r="H16">
            <v>0.7484707372941882</v>
          </cell>
          <cell r="J16">
            <v>0.11724614370315369</v>
          </cell>
          <cell r="N16">
            <v>0.04242385202505063</v>
          </cell>
          <cell r="P16">
            <v>0.038050666568930344</v>
          </cell>
        </row>
        <row r="17">
          <cell r="H17">
            <v>1204.642716833503</v>
          </cell>
          <cell r="J17">
            <v>188.70438889757665</v>
          </cell>
          <cell r="N17">
            <v>68.28000323266124</v>
          </cell>
          <cell r="P17">
            <v>61.241483559704605</v>
          </cell>
        </row>
        <row r="18">
          <cell r="H18">
            <v>19.79</v>
          </cell>
          <cell r="J18">
            <v>3.1000559785056927</v>
          </cell>
          <cell r="N18">
            <v>1.030733592391421</v>
          </cell>
          <cell r="P18">
            <v>0.9151043322113258</v>
          </cell>
        </row>
        <row r="19">
          <cell r="H19">
            <v>19.79</v>
          </cell>
          <cell r="J19">
            <v>3.1000559785056927</v>
          </cell>
          <cell r="N19">
            <v>1.030733592391421</v>
          </cell>
          <cell r="P19">
            <v>0.9151043322113258</v>
          </cell>
        </row>
        <row r="20">
          <cell r="H20">
            <v>0</v>
          </cell>
          <cell r="J20">
            <v>0</v>
          </cell>
          <cell r="N20">
            <v>0</v>
          </cell>
          <cell r="P20">
            <v>0</v>
          </cell>
        </row>
        <row r="21">
          <cell r="H21">
            <v>0</v>
          </cell>
          <cell r="J21">
            <v>0</v>
          </cell>
          <cell r="N21">
            <v>0</v>
          </cell>
          <cell r="P21">
            <v>0</v>
          </cell>
        </row>
        <row r="22">
          <cell r="H22">
            <v>0</v>
          </cell>
          <cell r="J22">
            <v>0</v>
          </cell>
          <cell r="N22">
            <v>0</v>
          </cell>
          <cell r="P22">
            <v>0</v>
          </cell>
        </row>
        <row r="23">
          <cell r="H23">
            <v>8.181964751038024</v>
          </cell>
          <cell r="J23">
            <v>1.281685130994354</v>
          </cell>
          <cell r="N23">
            <v>0.463151627504386</v>
          </cell>
          <cell r="P23">
            <v>0.4153458203008853</v>
          </cell>
        </row>
        <row r="24">
          <cell r="H24">
            <v>1212.8246815845412</v>
          </cell>
          <cell r="J24">
            <v>189.986074028571</v>
          </cell>
          <cell r="N24">
            <v>68.74315486016563</v>
          </cell>
          <cell r="P24">
            <v>61.65682938000549</v>
          </cell>
        </row>
        <row r="25">
          <cell r="H25" t="str">
            <v>x</v>
          </cell>
          <cell r="J25" t="str">
            <v>x</v>
          </cell>
          <cell r="N25" t="str">
            <v>x</v>
          </cell>
          <cell r="P25" t="str">
            <v>x</v>
          </cell>
        </row>
        <row r="26">
          <cell r="H26">
            <v>1232.6146815845411</v>
          </cell>
          <cell r="J26">
            <v>193.08613000707672</v>
          </cell>
          <cell r="N26">
            <v>69.77388845255706</v>
          </cell>
          <cell r="P26">
            <v>62.57193371221682</v>
          </cell>
        </row>
        <row r="27">
          <cell r="H27">
            <v>1218.3600000000004</v>
          </cell>
          <cell r="J27">
            <v>190.85316836645762</v>
          </cell>
          <cell r="N27" t="str">
            <v>x</v>
          </cell>
          <cell r="P27" t="str">
            <v>x</v>
          </cell>
        </row>
        <row r="28">
          <cell r="H28">
            <v>14.25468158454092</v>
          </cell>
          <cell r="J28">
            <v>2.2329616406191017</v>
          </cell>
          <cell r="N28" t="str">
            <v>x</v>
          </cell>
          <cell r="P28" t="str">
            <v>x</v>
          </cell>
        </row>
        <row r="29">
          <cell r="H29">
            <v>1479.1376179014494</v>
          </cell>
          <cell r="J29">
            <v>37.53098745185682</v>
          </cell>
          <cell r="N29">
            <v>83.72866614306847</v>
          </cell>
          <cell r="P29">
            <v>75.08632045466018</v>
          </cell>
        </row>
        <row r="49">
          <cell r="E49">
            <v>187</v>
          </cell>
        </row>
      </sheetData>
      <sheetData sheetId="20">
        <row r="10">
          <cell r="C10">
            <v>497.9250620000001</v>
          </cell>
          <cell r="D10">
            <v>15.101982000000001</v>
          </cell>
          <cell r="E10">
            <v>2.100414742698192</v>
          </cell>
          <cell r="F10">
            <v>0</v>
          </cell>
          <cell r="G10">
            <v>0</v>
          </cell>
          <cell r="H10">
            <v>15.101982000000001</v>
          </cell>
          <cell r="I10">
            <v>54.51979061371841</v>
          </cell>
          <cell r="J10">
            <v>476.9296560000001</v>
          </cell>
          <cell r="K10">
            <v>72.66945847935396</v>
          </cell>
          <cell r="L10">
            <v>5.8934239999999996</v>
          </cell>
          <cell r="M10">
            <v>80.73183561643836</v>
          </cell>
          <cell r="O10">
            <v>39.115369863013704</v>
          </cell>
        </row>
        <row r="11">
          <cell r="C11">
            <v>38.09063</v>
          </cell>
          <cell r="D11">
            <v>1.52627</v>
          </cell>
          <cell r="E11">
            <v>0.21227677329624478</v>
          </cell>
          <cell r="F11">
            <v>0</v>
          </cell>
          <cell r="G11">
            <v>0</v>
          </cell>
          <cell r="H11">
            <v>1.52627</v>
          </cell>
          <cell r="I11">
            <v>5.51</v>
          </cell>
          <cell r="J11">
            <v>36.16213</v>
          </cell>
          <cell r="K11">
            <v>5.51</v>
          </cell>
          <cell r="L11">
            <v>0.40223</v>
          </cell>
          <cell r="M11">
            <v>5.51</v>
          </cell>
          <cell r="O11">
            <v>5.51</v>
          </cell>
        </row>
        <row r="12">
          <cell r="C12">
            <v>6.301271999999999</v>
          </cell>
          <cell r="D12">
            <v>0.498708</v>
          </cell>
          <cell r="E12">
            <v>0.06936133518776078</v>
          </cell>
          <cell r="F12">
            <v>0</v>
          </cell>
          <cell r="G12">
            <v>0</v>
          </cell>
          <cell r="H12">
            <v>0.498708</v>
          </cell>
          <cell r="I12">
            <v>1.8003898916967507</v>
          </cell>
          <cell r="J12">
            <v>5.735142</v>
          </cell>
          <cell r="K12">
            <v>0.873859820204175</v>
          </cell>
          <cell r="L12">
            <v>0.06742200000000001</v>
          </cell>
          <cell r="M12">
            <v>0.9235890410958906</v>
          </cell>
          <cell r="O12">
            <v>0</v>
          </cell>
        </row>
        <row r="15">
          <cell r="C15">
            <v>4.96257276</v>
          </cell>
          <cell r="D15">
            <v>0.20447028</v>
          </cell>
          <cell r="E15">
            <v>0.02843814742698192</v>
          </cell>
          <cell r="F15">
            <v>0</v>
          </cell>
          <cell r="G15">
            <v>0</v>
          </cell>
          <cell r="H15">
            <v>0.20447028</v>
          </cell>
          <cell r="I15">
            <v>0.7381598555956678</v>
          </cell>
          <cell r="J15">
            <v>4.702816439999999</v>
          </cell>
          <cell r="K15">
            <v>0.7165650525674234</v>
          </cell>
          <cell r="L15">
            <v>0.05528604000000001</v>
          </cell>
          <cell r="M15">
            <v>0.7573430136986303</v>
          </cell>
          <cell r="O15">
            <v>0</v>
          </cell>
        </row>
        <row r="16">
          <cell r="C16">
            <v>1.0893452399999999</v>
          </cell>
          <cell r="D16">
            <v>0.044883719999999995</v>
          </cell>
          <cell r="E16">
            <v>0.006242520166898469</v>
          </cell>
          <cell r="F16">
            <v>0</v>
          </cell>
          <cell r="G16">
            <v>0</v>
          </cell>
          <cell r="H16">
            <v>0.044883719999999995</v>
          </cell>
          <cell r="I16">
            <v>0.16203509025270754</v>
          </cell>
          <cell r="J16">
            <v>1.0323255599999999</v>
          </cell>
          <cell r="K16">
            <v>0.15729476763675146</v>
          </cell>
          <cell r="L16">
            <v>0.012135960000000001</v>
          </cell>
          <cell r="M16">
            <v>0.1662460273972603</v>
          </cell>
          <cell r="O16">
            <v>0</v>
          </cell>
        </row>
        <row r="17">
          <cell r="C17">
            <v>542.3169640000001</v>
          </cell>
          <cell r="D17">
            <v>17.12696</v>
          </cell>
          <cell r="F17">
            <v>0</v>
          </cell>
          <cell r="H17">
            <v>17.12696</v>
          </cell>
          <cell r="J17">
            <v>518.8269280000001</v>
          </cell>
          <cell r="L17">
            <v>6.3630759999999995</v>
          </cell>
        </row>
        <row r="18">
          <cell r="E18">
            <v>2.3820528511821975</v>
          </cell>
          <cell r="G18">
            <v>0</v>
          </cell>
          <cell r="I18">
            <v>61.830180505415164</v>
          </cell>
          <cell r="K18">
            <v>79.05331829955814</v>
          </cell>
          <cell r="M18">
            <v>87.16542465753425</v>
          </cell>
          <cell r="O18">
            <v>44.6253698630137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P90"/>
  <sheetViews>
    <sheetView view="pageBreakPreview" zoomScale="60" zoomScaleNormal="75" zoomScalePageLayoutView="0" workbookViewId="0" topLeftCell="D1">
      <selection activeCell="K2" sqref="K2"/>
    </sheetView>
  </sheetViews>
  <sheetFormatPr defaultColWidth="9.140625" defaultRowHeight="12.75"/>
  <cols>
    <col min="4" max="4" width="9.140625" style="0" customWidth="1"/>
    <col min="5" max="5" width="0.9921875" style="0" customWidth="1"/>
    <col min="7" max="7" width="51.140625" style="0" customWidth="1"/>
    <col min="8" max="8" width="16.57421875" style="0" customWidth="1"/>
    <col min="9" max="9" width="12.57421875" style="0" customWidth="1"/>
    <col min="10" max="10" width="14.00390625" style="0" customWidth="1"/>
    <col min="11" max="11" width="14.421875" style="0" customWidth="1"/>
    <col min="12" max="12" width="12.7109375" style="0" bestFit="1" customWidth="1"/>
    <col min="13" max="13" width="11.57421875" style="0" customWidth="1"/>
    <col min="14" max="14" width="15.140625" style="0" customWidth="1"/>
    <col min="15" max="15" width="14.140625" style="0" customWidth="1"/>
  </cols>
  <sheetData>
    <row r="1" spans="6:16" ht="23.25">
      <c r="F1" s="3"/>
      <c r="G1" s="4"/>
      <c r="H1" s="4"/>
      <c r="I1" s="4"/>
      <c r="J1" s="4"/>
      <c r="K1" s="4"/>
      <c r="L1" s="4"/>
      <c r="M1" s="4"/>
      <c r="N1" s="254" t="s">
        <v>68</v>
      </c>
      <c r="O1" s="255"/>
      <c r="P1" s="256"/>
    </row>
    <row r="2" spans="6:16" ht="16.5" customHeight="1">
      <c r="F2" s="3"/>
      <c r="G2" s="4"/>
      <c r="H2" s="4"/>
      <c r="I2" s="4"/>
      <c r="J2" s="4"/>
      <c r="K2" s="4"/>
      <c r="L2" s="4"/>
      <c r="M2" s="4"/>
      <c r="N2" s="257" t="s">
        <v>131</v>
      </c>
      <c r="O2" s="255"/>
      <c r="P2" s="256"/>
    </row>
    <row r="3" spans="6:16" ht="16.5" customHeight="1">
      <c r="F3" s="3"/>
      <c r="G3" s="5"/>
      <c r="H3" s="5"/>
      <c r="I3" s="5"/>
      <c r="J3" s="5"/>
      <c r="K3" s="5"/>
      <c r="L3" s="5"/>
      <c r="M3" s="5"/>
      <c r="N3" s="258" t="s">
        <v>150</v>
      </c>
      <c r="O3" s="256"/>
      <c r="P3" s="256"/>
    </row>
    <row r="4" spans="6:15" ht="23.25">
      <c r="F4" s="3"/>
      <c r="G4" s="5"/>
      <c r="H4" s="5"/>
      <c r="I4" s="5"/>
      <c r="J4" s="5"/>
      <c r="K4" s="5"/>
      <c r="L4" s="5"/>
      <c r="M4" s="5"/>
      <c r="N4" s="5"/>
      <c r="O4" s="5"/>
    </row>
    <row r="5" spans="6:15" ht="22.5">
      <c r="F5" s="207" t="s">
        <v>0</v>
      </c>
      <c r="G5" s="207"/>
      <c r="H5" s="207"/>
      <c r="I5" s="207"/>
      <c r="J5" s="207"/>
      <c r="K5" s="207"/>
      <c r="L5" s="207"/>
      <c r="M5" s="207"/>
      <c r="N5" s="207"/>
      <c r="O5" s="207"/>
    </row>
    <row r="6" spans="6:15" ht="24.75" customHeight="1">
      <c r="F6" s="207" t="s">
        <v>1</v>
      </c>
      <c r="G6" s="207"/>
      <c r="H6" s="207"/>
      <c r="I6" s="207"/>
      <c r="J6" s="207"/>
      <c r="K6" s="207"/>
      <c r="L6" s="207"/>
      <c r="M6" s="207"/>
      <c r="N6" s="207"/>
      <c r="O6" s="207"/>
    </row>
    <row r="7" spans="6:15" ht="23.25">
      <c r="F7" s="3"/>
      <c r="G7" s="32"/>
      <c r="H7" s="32"/>
      <c r="I7" s="32"/>
      <c r="J7" s="32"/>
      <c r="K7" s="32"/>
      <c r="L7" s="32"/>
      <c r="M7" s="32"/>
      <c r="N7" s="32"/>
      <c r="O7" s="33" t="s">
        <v>2</v>
      </c>
    </row>
    <row r="8" spans="6:15" ht="70.5" customHeight="1">
      <c r="F8" s="209" t="s">
        <v>3</v>
      </c>
      <c r="G8" s="209" t="s">
        <v>4</v>
      </c>
      <c r="H8" s="210" t="s">
        <v>5</v>
      </c>
      <c r="I8" s="211"/>
      <c r="J8" s="210" t="s">
        <v>6</v>
      </c>
      <c r="K8" s="211"/>
      <c r="L8" s="210" t="s">
        <v>7</v>
      </c>
      <c r="M8" s="211"/>
      <c r="N8" s="209" t="s">
        <v>139</v>
      </c>
      <c r="O8" s="209"/>
    </row>
    <row r="9" spans="6:15" ht="69.75">
      <c r="F9" s="209"/>
      <c r="G9" s="209"/>
      <c r="H9" s="7" t="s">
        <v>8</v>
      </c>
      <c r="I9" s="7" t="s">
        <v>9</v>
      </c>
      <c r="J9" s="7" t="s">
        <v>8</v>
      </c>
      <c r="K9" s="7" t="s">
        <v>9</v>
      </c>
      <c r="L9" s="7" t="s">
        <v>8</v>
      </c>
      <c r="M9" s="7" t="s">
        <v>9</v>
      </c>
      <c r="N9" s="7" t="s">
        <v>8</v>
      </c>
      <c r="O9" s="7" t="s">
        <v>9</v>
      </c>
    </row>
    <row r="10" spans="6:15" ht="23.25">
      <c r="F10" s="8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>
        <v>7</v>
      </c>
      <c r="M10" s="9">
        <v>8</v>
      </c>
      <c r="N10" s="8">
        <v>9</v>
      </c>
      <c r="O10" s="8">
        <v>10</v>
      </c>
    </row>
    <row r="11" spans="6:15" ht="30.75" customHeight="1">
      <c r="F11" s="7">
        <v>1</v>
      </c>
      <c r="G11" s="11" t="s">
        <v>10</v>
      </c>
      <c r="H11" s="12">
        <f>H12+H20+H21+H24</f>
        <v>21585.1934558041</v>
      </c>
      <c r="I11" s="13">
        <f>H11/$H$44*1000</f>
        <v>1545.442360979745</v>
      </c>
      <c r="J11" s="12">
        <f>J12+J20+J21+J24</f>
        <v>1043.328791329604</v>
      </c>
      <c r="K11" s="14">
        <f>J11/$J$44*1000</f>
        <v>74.6995626354696</v>
      </c>
      <c r="L11" s="12">
        <f>L12+L20+L21+L24</f>
        <v>15.45217666657814</v>
      </c>
      <c r="M11" s="14">
        <f>L11/$L$44*1000</f>
        <v>1.10633469367639</v>
      </c>
      <c r="N11" s="15">
        <f>H11+J11+L11</f>
        <v>22643.974423800282</v>
      </c>
      <c r="O11" s="15">
        <f>N11/$N$44*1000</f>
        <v>1621.248258308891</v>
      </c>
    </row>
    <row r="12" spans="6:15" ht="43.5" customHeight="1">
      <c r="F12" s="7" t="s">
        <v>11</v>
      </c>
      <c r="G12" s="11" t="s">
        <v>12</v>
      </c>
      <c r="H12" s="12">
        <f>H13+H14+H18+H19</f>
        <v>19551.049618987763</v>
      </c>
      <c r="I12" s="14">
        <f aca="true" t="shared" si="0" ref="I12:I41">H12/$H$44*1000</f>
        <v>1399.8030800449462</v>
      </c>
      <c r="J12" s="12">
        <f>J13+J14+J18+J19</f>
        <v>385.2978115226648</v>
      </c>
      <c r="K12" s="14">
        <f aca="true" t="shared" si="1" ref="K12:K42">J12/$J$44*1000</f>
        <v>27.586297094770874</v>
      </c>
      <c r="L12" s="14">
        <f>'[4]Д5'!G10*'[4]Д5'!G40/'[4]Д5'!G39</f>
        <v>0</v>
      </c>
      <c r="M12" s="14">
        <f aca="true" t="shared" si="2" ref="M12:M42">L12/$L$44*1000</f>
        <v>0</v>
      </c>
      <c r="N12" s="15">
        <f>H12+J12+L12</f>
        <v>19936.34743051043</v>
      </c>
      <c r="O12" s="15">
        <f aca="true" t="shared" si="3" ref="O12:O41">N12/$N$44*1000</f>
        <v>1427.389377139717</v>
      </c>
    </row>
    <row r="13" spans="6:15" ht="23.25" customHeight="1">
      <c r="F13" s="16" t="s">
        <v>13</v>
      </c>
      <c r="G13" s="17" t="s">
        <v>14</v>
      </c>
      <c r="H13" s="18">
        <f>'[4]Д3'!P10</f>
        <v>18135.61816931093</v>
      </c>
      <c r="I13" s="19">
        <f t="shared" si="0"/>
        <v>1298.46195813782</v>
      </c>
      <c r="J13" s="19">
        <v>0</v>
      </c>
      <c r="K13" s="19">
        <f t="shared" si="1"/>
        <v>0</v>
      </c>
      <c r="L13" s="20">
        <v>0</v>
      </c>
      <c r="M13" s="19">
        <f t="shared" si="2"/>
        <v>0</v>
      </c>
      <c r="N13" s="21">
        <f aca="true" t="shared" si="4" ref="N13:N42">H13+J13+L13</f>
        <v>18135.61816931093</v>
      </c>
      <c r="O13" s="21">
        <f t="shared" si="3"/>
        <v>1298.46195813782</v>
      </c>
    </row>
    <row r="14" spans="6:15" ht="31.5" customHeight="1">
      <c r="F14" s="16" t="s">
        <v>15</v>
      </c>
      <c r="G14" s="17" t="s">
        <v>16</v>
      </c>
      <c r="H14" s="23">
        <f>'[4]Д3'!P11</f>
        <v>1220.2054602108556</v>
      </c>
      <c r="I14" s="20">
        <f t="shared" si="0"/>
        <v>87.36346103034693</v>
      </c>
      <c r="J14" s="23">
        <f>'[4]Д4'!G12*'[4]Д4'!G55/'[4]Д4'!G53</f>
        <v>6.3018957035907865</v>
      </c>
      <c r="K14" s="20">
        <f t="shared" si="1"/>
        <v>0.45119894777624303</v>
      </c>
      <c r="L14" s="20">
        <v>0</v>
      </c>
      <c r="M14" s="20">
        <f t="shared" si="2"/>
        <v>0</v>
      </c>
      <c r="N14" s="21">
        <f t="shared" si="4"/>
        <v>1226.5073559144464</v>
      </c>
      <c r="O14" s="21">
        <f t="shared" si="3"/>
        <v>87.81465997812319</v>
      </c>
    </row>
    <row r="15" spans="6:15" ht="48" customHeight="1">
      <c r="F15" s="16" t="s">
        <v>17</v>
      </c>
      <c r="G15" s="17" t="s">
        <v>18</v>
      </c>
      <c r="H15" s="20">
        <v>0</v>
      </c>
      <c r="I15" s="20">
        <f t="shared" si="0"/>
        <v>0</v>
      </c>
      <c r="J15" s="20">
        <v>0</v>
      </c>
      <c r="K15" s="20">
        <f t="shared" si="1"/>
        <v>0</v>
      </c>
      <c r="L15" s="20">
        <v>0</v>
      </c>
      <c r="M15" s="20">
        <f t="shared" si="2"/>
        <v>0</v>
      </c>
      <c r="N15" s="21">
        <f t="shared" si="4"/>
        <v>0</v>
      </c>
      <c r="O15" s="21">
        <f t="shared" si="3"/>
        <v>0</v>
      </c>
    </row>
    <row r="16" spans="6:15" ht="46.5">
      <c r="F16" s="16" t="s">
        <v>19</v>
      </c>
      <c r="G16" s="17" t="s">
        <v>20</v>
      </c>
      <c r="H16" s="20">
        <v>0</v>
      </c>
      <c r="I16" s="20">
        <f t="shared" si="0"/>
        <v>0</v>
      </c>
      <c r="J16" s="20">
        <v>0</v>
      </c>
      <c r="K16" s="20">
        <f t="shared" si="1"/>
        <v>0</v>
      </c>
      <c r="L16" s="20">
        <v>0</v>
      </c>
      <c r="M16" s="20">
        <f t="shared" si="2"/>
        <v>0</v>
      </c>
      <c r="N16" s="21">
        <f t="shared" si="4"/>
        <v>0</v>
      </c>
      <c r="O16" s="21">
        <f t="shared" si="3"/>
        <v>0</v>
      </c>
    </row>
    <row r="17" spans="6:15" ht="75" customHeight="1">
      <c r="F17" s="16" t="s">
        <v>21</v>
      </c>
      <c r="G17" s="22" t="s">
        <v>22</v>
      </c>
      <c r="H17" s="20">
        <v>0</v>
      </c>
      <c r="I17" s="20">
        <f t="shared" si="0"/>
        <v>0</v>
      </c>
      <c r="J17" s="20">
        <v>0</v>
      </c>
      <c r="K17" s="20">
        <f t="shared" si="1"/>
        <v>0</v>
      </c>
      <c r="L17" s="20">
        <v>0</v>
      </c>
      <c r="M17" s="20">
        <f t="shared" si="2"/>
        <v>0</v>
      </c>
      <c r="N17" s="21">
        <f t="shared" si="4"/>
        <v>0</v>
      </c>
      <c r="O17" s="21">
        <f t="shared" si="3"/>
        <v>0</v>
      </c>
    </row>
    <row r="18" spans="6:15" ht="47.25" customHeight="1">
      <c r="F18" s="16" t="s">
        <v>23</v>
      </c>
      <c r="G18" s="22" t="s">
        <v>24</v>
      </c>
      <c r="H18" s="23">
        <f>'[4]Д3'!P13</f>
        <v>2.77028330932175</v>
      </c>
      <c r="I18" s="20">
        <f t="shared" si="0"/>
        <v>0.1983449065169149</v>
      </c>
      <c r="J18" s="23">
        <f>'[4]Д4'!G14*'[4]Д4'!G55/'[4]Д4'!G53</f>
        <v>26.360516191179627</v>
      </c>
      <c r="K18" s="20">
        <f t="shared" si="1"/>
        <v>1.8873427501381561</v>
      </c>
      <c r="L18" s="20">
        <v>0</v>
      </c>
      <c r="M18" s="20">
        <f t="shared" si="2"/>
        <v>0</v>
      </c>
      <c r="N18" s="21">
        <f t="shared" si="4"/>
        <v>29.13079950050138</v>
      </c>
      <c r="O18" s="21">
        <f t="shared" si="3"/>
        <v>2.0856876566550713</v>
      </c>
    </row>
    <row r="19" spans="6:15" ht="46.5">
      <c r="F19" s="16" t="s">
        <v>25</v>
      </c>
      <c r="G19" s="22" t="s">
        <v>26</v>
      </c>
      <c r="H19" s="23">
        <f>'[4]Д3'!P14</f>
        <v>192.45570615666057</v>
      </c>
      <c r="I19" s="20">
        <f t="shared" si="0"/>
        <v>13.779315970262802</v>
      </c>
      <c r="J19" s="23">
        <f>'[4]Д4'!G15*'[4]Д4'!G55/'[4]Д4'!G53</f>
        <v>352.6353996278944</v>
      </c>
      <c r="K19" s="20">
        <f t="shared" si="1"/>
        <v>25.247755396856476</v>
      </c>
      <c r="L19" s="20">
        <v>0</v>
      </c>
      <c r="M19" s="20">
        <f t="shared" si="2"/>
        <v>0</v>
      </c>
      <c r="N19" s="21">
        <f t="shared" si="4"/>
        <v>545.091105784555</v>
      </c>
      <c r="O19" s="21">
        <f t="shared" si="3"/>
        <v>39.027071367119284</v>
      </c>
    </row>
    <row r="20" spans="6:15" ht="66" customHeight="1">
      <c r="F20" s="10" t="s">
        <v>27</v>
      </c>
      <c r="G20" s="24" t="s">
        <v>28</v>
      </c>
      <c r="H20" s="12">
        <f>'[4]Д3'!P15+'[4]Д3'!P17</f>
        <v>1844.4969118259496</v>
      </c>
      <c r="I20" s="14">
        <f t="shared" si="0"/>
        <v>132.0610662150748</v>
      </c>
      <c r="J20" s="14">
        <f>('[4]Д4'!G16+'[4]Д4'!G18)*'[4]Д4'!G55/'[4]Д4'!G53</f>
        <v>507.5080381323646</v>
      </c>
      <c r="K20" s="14">
        <f t="shared" si="1"/>
        <v>36.336223822751094</v>
      </c>
      <c r="L20" s="14">
        <f>('[4]Д5'!G11+'[4]Д5'!G13)*'[4]Д5'!G41/'[4]Д5'!G39</f>
        <v>15.414125930758038</v>
      </c>
      <c r="M20" s="14">
        <f t="shared" si="2"/>
        <v>1.1036103623367965</v>
      </c>
      <c r="N20" s="15">
        <f t="shared" si="4"/>
        <v>2367.4190758890722</v>
      </c>
      <c r="O20" s="15">
        <f t="shared" si="3"/>
        <v>169.5009004001627</v>
      </c>
    </row>
    <row r="21" spans="6:15" ht="24.75" customHeight="1">
      <c r="F21" s="10" t="s">
        <v>29</v>
      </c>
      <c r="G21" s="24" t="s">
        <v>30</v>
      </c>
      <c r="H21" s="27">
        <f>'[4]Д3'!P16-'[4]Д3'!P17</f>
        <v>156.09598645252095</v>
      </c>
      <c r="I21" s="26">
        <f t="shared" si="0"/>
        <v>11.176056880684538</v>
      </c>
      <c r="J21" s="26">
        <f>('[4]Д4'!G17-'[4]Д4'!G18)*'[4]Д4'!G55/'[4]Д4'!G53</f>
        <v>148.43860995740735</v>
      </c>
      <c r="K21" s="26">
        <f t="shared" si="1"/>
        <v>10.627809118451161</v>
      </c>
      <c r="L21" s="26">
        <f>('[4]Д5'!G14+'[4]Д5'!G15)*'[4]Д5'!G41/'[4]Д5'!G39</f>
        <v>0.007181775325722533</v>
      </c>
      <c r="M21" s="26">
        <f t="shared" si="2"/>
        <v>0.0005141959852310828</v>
      </c>
      <c r="N21" s="69">
        <f t="shared" si="4"/>
        <v>304.54177818525403</v>
      </c>
      <c r="O21" s="69">
        <f t="shared" si="3"/>
        <v>21.80438019512093</v>
      </c>
    </row>
    <row r="22" spans="6:15" ht="28.5" customHeight="1">
      <c r="F22" s="16" t="s">
        <v>31</v>
      </c>
      <c r="G22" s="22" t="s">
        <v>32</v>
      </c>
      <c r="H22" s="23">
        <f>'[4]Д3'!P18</f>
        <v>57.135233545210944</v>
      </c>
      <c r="I22" s="20">
        <f t="shared" si="0"/>
        <v>4.090730546660768</v>
      </c>
      <c r="J22" s="20">
        <f>'[4]Д4'!G19*'[4]Д4'!G55/'[4]Д4'!G53</f>
        <v>91.56881134515166</v>
      </c>
      <c r="K22" s="20">
        <f t="shared" si="1"/>
        <v>6.556083006025035</v>
      </c>
      <c r="L22" s="20">
        <v>0</v>
      </c>
      <c r="M22" s="20">
        <f t="shared" si="2"/>
        <v>0</v>
      </c>
      <c r="N22" s="21">
        <f t="shared" si="4"/>
        <v>148.7040448903626</v>
      </c>
      <c r="O22" s="21">
        <f t="shared" si="3"/>
        <v>10.646813552685803</v>
      </c>
    </row>
    <row r="23" spans="6:15" ht="23.25">
      <c r="F23" s="16" t="s">
        <v>33</v>
      </c>
      <c r="G23" s="22" t="s">
        <v>34</v>
      </c>
      <c r="H23" s="18">
        <f>H21-H22</f>
        <v>98.96075290731</v>
      </c>
      <c r="I23" s="19">
        <f t="shared" si="0"/>
        <v>7.08532633402377</v>
      </c>
      <c r="J23" s="19">
        <f>J21-J22</f>
        <v>56.86979861225569</v>
      </c>
      <c r="K23" s="19">
        <f t="shared" si="1"/>
        <v>4.071726112426125</v>
      </c>
      <c r="L23" s="19">
        <v>0</v>
      </c>
      <c r="M23" s="19">
        <f t="shared" si="2"/>
        <v>0</v>
      </c>
      <c r="N23" s="21">
        <f t="shared" si="4"/>
        <v>155.8305515195657</v>
      </c>
      <c r="O23" s="21">
        <f t="shared" si="3"/>
        <v>11.157052446449896</v>
      </c>
    </row>
    <row r="24" spans="6:15" ht="43.5" customHeight="1">
      <c r="F24" s="7" t="s">
        <v>35</v>
      </c>
      <c r="G24" s="24" t="s">
        <v>144</v>
      </c>
      <c r="H24" s="27">
        <f>'[4]Д3'!P20</f>
        <v>33.55093853786624</v>
      </c>
      <c r="I24" s="26">
        <f t="shared" si="0"/>
        <v>2.40215783903961</v>
      </c>
      <c r="J24" s="26">
        <f>'[4]Д4'!G21*'[4]Д4'!G55/'[4]Д4'!G53</f>
        <v>2.084331717167292</v>
      </c>
      <c r="K24" s="26">
        <f t="shared" si="1"/>
        <v>0.14923259949647683</v>
      </c>
      <c r="L24" s="26">
        <f>'[4]Д5'!G16*'[4]Д5'!G41/'[4]Д5'!G39</f>
        <v>0.03086896049437815</v>
      </c>
      <c r="M24" s="26">
        <f t="shared" si="2"/>
        <v>0.002210135354362293</v>
      </c>
      <c r="N24" s="69">
        <f t="shared" si="4"/>
        <v>35.66613921552791</v>
      </c>
      <c r="O24" s="69">
        <f t="shared" si="3"/>
        <v>2.55360057389045</v>
      </c>
    </row>
    <row r="25" spans="6:15" ht="69.75" customHeight="1">
      <c r="F25" s="16" t="s">
        <v>37</v>
      </c>
      <c r="G25" s="22" t="s">
        <v>38</v>
      </c>
      <c r="H25" s="23">
        <f>'[4]Д3'!P21+'[4]Д3'!P22</f>
        <v>17.271818884070854</v>
      </c>
      <c r="I25" s="20">
        <f t="shared" si="0"/>
        <v>1.236616229975718</v>
      </c>
      <c r="J25" s="20">
        <f>('[4]Д4'!G22+'[4]Д4'!G23)*'[4]Д4'!G55/'[4]Д4'!G53</f>
        <v>1.0730009509192</v>
      </c>
      <c r="K25" s="20">
        <f t="shared" si="1"/>
        <v>0.07682401023263408</v>
      </c>
      <c r="L25" s="20">
        <f>('[4]Д5'!G17+'[4]Д5'!G18)*'[4]Д5'!G41/'[4]Д5'!G39</f>
        <v>0.015891635898071882</v>
      </c>
      <c r="M25" s="20">
        <f t="shared" si="2"/>
        <v>0.001137798804186431</v>
      </c>
      <c r="N25" s="21">
        <f t="shared" si="4"/>
        <v>18.360711470888127</v>
      </c>
      <c r="O25" s="21">
        <f t="shared" si="3"/>
        <v>1.3145780390125388</v>
      </c>
    </row>
    <row r="26" spans="6:15" ht="28.5" customHeight="1">
      <c r="F26" s="16" t="s">
        <v>39</v>
      </c>
      <c r="G26" s="22" t="s">
        <v>32</v>
      </c>
      <c r="H26" s="19">
        <f>'[2]9 (3)'!$V$12*'[4]Д3'!P43/'[4]Д3'!H43</f>
        <v>4.600515296672065</v>
      </c>
      <c r="I26" s="19">
        <f t="shared" si="0"/>
        <v>0.32938464213303253</v>
      </c>
      <c r="J26" s="19">
        <f>'[2]9 (3)'!$W$12*'[4]Д4'!G55/'[4]Д4'!G53</f>
        <v>0.2849030670008885</v>
      </c>
      <c r="K26" s="19">
        <f t="shared" si="1"/>
        <v>0.020398300780474582</v>
      </c>
      <c r="L26" s="19">
        <f>('[2]9 (3)'!$X$12*'[4]Д5'!G41/'[4]Д5'!G39)</f>
        <v>0.0038242022416229656</v>
      </c>
      <c r="M26" s="19">
        <f t="shared" si="2"/>
        <v>0.00027380269503994885</v>
      </c>
      <c r="N26" s="21">
        <f t="shared" si="4"/>
        <v>4.889242565914577</v>
      </c>
      <c r="O26" s="21">
        <f t="shared" si="3"/>
        <v>0.3500567456085471</v>
      </c>
    </row>
    <row r="27" spans="6:15" ht="23.25">
      <c r="F27" s="16" t="s">
        <v>40</v>
      </c>
      <c r="G27" s="22" t="s">
        <v>41</v>
      </c>
      <c r="H27" s="18">
        <f>H24-H25-H26</f>
        <v>11.67860435712332</v>
      </c>
      <c r="I27" s="19">
        <f t="shared" si="0"/>
        <v>0.8361569669308598</v>
      </c>
      <c r="J27" s="19">
        <f>J24-J25-J26</f>
        <v>0.7264276992472034</v>
      </c>
      <c r="K27" s="19">
        <f t="shared" si="1"/>
        <v>0.05201028848336818</v>
      </c>
      <c r="L27" s="19">
        <f>L24-L25-L26</f>
        <v>0.011153122354683303</v>
      </c>
      <c r="M27" s="19">
        <f t="shared" si="2"/>
        <v>0.0007985338551359135</v>
      </c>
      <c r="N27" s="21">
        <f t="shared" si="4"/>
        <v>12.416185178725206</v>
      </c>
      <c r="O27" s="21">
        <f t="shared" si="3"/>
        <v>0.8889657892693639</v>
      </c>
    </row>
    <row r="28" spans="6:15" ht="27.75" customHeight="1">
      <c r="F28" s="10" t="s">
        <v>42</v>
      </c>
      <c r="G28" s="24" t="s">
        <v>43</v>
      </c>
      <c r="H28" s="12">
        <f>'[4]Д3'!P24</f>
        <v>321.47515016695127</v>
      </c>
      <c r="I28" s="14">
        <f t="shared" si="0"/>
        <v>23.016764528313256</v>
      </c>
      <c r="J28" s="14">
        <f>'[4]Д4'!G25*'[4]Д4'!G55/'[4]Д4'!G53</f>
        <v>19.97144303890874</v>
      </c>
      <c r="K28" s="14">
        <f t="shared" si="1"/>
        <v>1.4299021292266585</v>
      </c>
      <c r="L28" s="14">
        <f>'[4]Д5'!G20*'[4]Д5'!G41/'[4]Д5'!G39</f>
        <v>0.29578674658054666</v>
      </c>
      <c r="M28" s="14">
        <f t="shared" si="2"/>
        <v>0.02117754325055822</v>
      </c>
      <c r="N28" s="15">
        <f t="shared" si="4"/>
        <v>341.74237995244056</v>
      </c>
      <c r="O28" s="15">
        <f t="shared" si="3"/>
        <v>24.467844200790474</v>
      </c>
    </row>
    <row r="29" spans="6:15" ht="71.25" customHeight="1">
      <c r="F29" s="16" t="s">
        <v>44</v>
      </c>
      <c r="G29" s="22" t="s">
        <v>38</v>
      </c>
      <c r="H29" s="23">
        <f>'[4]Д3'!P25+'[4]Д3'!P26</f>
        <v>302.139421410042</v>
      </c>
      <c r="I29" s="20">
        <f t="shared" si="0"/>
        <v>21.632377848503044</v>
      </c>
      <c r="J29" s="20">
        <f>('[4]Д4'!G26+'[4]Д4'!G27)*'[4]Д4'!G55/'[4]Д4'!G53</f>
        <v>18.7702226879698</v>
      </c>
      <c r="K29" s="20">
        <f t="shared" si="1"/>
        <v>1.3438979514548435</v>
      </c>
      <c r="L29" s="20">
        <f>('[4]Д5'!G21+'[4]Д5'!G22)*'[4]Д5'!G41/'[4]Д5'!G39</f>
        <v>0.27799558437939637</v>
      </c>
      <c r="M29" s="20">
        <f t="shared" si="2"/>
        <v>0.01990374342230947</v>
      </c>
      <c r="N29" s="21">
        <f t="shared" si="4"/>
        <v>321.1876396823912</v>
      </c>
      <c r="O29" s="21">
        <f t="shared" si="3"/>
        <v>22.996179543380197</v>
      </c>
    </row>
    <row r="30" spans="6:15" ht="32.25" customHeight="1">
      <c r="F30" s="16" t="s">
        <v>45</v>
      </c>
      <c r="G30" s="22" t="s">
        <v>32</v>
      </c>
      <c r="H30" s="23">
        <f>'[3]10 (3)'!$W$17*'[4]Д3'!P43/'[4]Д3'!H43</f>
        <v>0.9623127237445797</v>
      </c>
      <c r="I30" s="20">
        <f t="shared" si="0"/>
        <v>0.06889902797627118</v>
      </c>
      <c r="J30" s="20">
        <f>'[3]10 (3)'!$X$17*'[4]Д4'!G55/'[4]Д4'!G53</f>
        <v>0.059775977408253494</v>
      </c>
      <c r="K30" s="20">
        <f t="shared" si="1"/>
        <v>0.004279800773842163</v>
      </c>
      <c r="L30" s="20">
        <f>'[3]10 (3)'!$Y$17*'[4]Д5'!G41/'[4]Д5'!G39</f>
        <v>0.0008853984812297296</v>
      </c>
      <c r="M30" s="20">
        <f t="shared" si="2"/>
        <v>6.339217306721054E-05</v>
      </c>
      <c r="N30" s="21">
        <f t="shared" si="4"/>
        <v>1.022974099634063</v>
      </c>
      <c r="O30" s="21">
        <f t="shared" si="3"/>
        <v>0.07324222092318057</v>
      </c>
    </row>
    <row r="31" spans="6:15" ht="23.25">
      <c r="F31" s="16" t="s">
        <v>46</v>
      </c>
      <c r="G31" s="22" t="s">
        <v>41</v>
      </c>
      <c r="H31" s="18">
        <f>H28-H29-H30</f>
        <v>18.373416033164666</v>
      </c>
      <c r="I31" s="19">
        <f t="shared" si="0"/>
        <v>1.3154876518339418</v>
      </c>
      <c r="J31" s="19">
        <f>J28-J29-J30</f>
        <v>1.1414443735306858</v>
      </c>
      <c r="K31" s="19">
        <f t="shared" si="1"/>
        <v>0.08172437699797278</v>
      </c>
      <c r="L31" s="19">
        <f>L28-L29-L30</f>
        <v>0.01690576371992056</v>
      </c>
      <c r="M31" s="19">
        <f t="shared" si="2"/>
        <v>0.0012104076551815396</v>
      </c>
      <c r="N31" s="21">
        <f t="shared" si="4"/>
        <v>19.53176617041527</v>
      </c>
      <c r="O31" s="21">
        <f t="shared" si="3"/>
        <v>1.398422436487096</v>
      </c>
    </row>
    <row r="32" spans="6:15" ht="22.5">
      <c r="F32" s="10">
        <v>3</v>
      </c>
      <c r="G32" s="24" t="s">
        <v>47</v>
      </c>
      <c r="H32" s="26">
        <v>0</v>
      </c>
      <c r="I32" s="26">
        <f t="shared" si="0"/>
        <v>0</v>
      </c>
      <c r="J32" s="26">
        <v>0</v>
      </c>
      <c r="K32" s="26">
        <f t="shared" si="1"/>
        <v>0</v>
      </c>
      <c r="L32" s="26">
        <v>0</v>
      </c>
      <c r="M32" s="26">
        <f t="shared" si="2"/>
        <v>0</v>
      </c>
      <c r="N32" s="15">
        <f t="shared" si="4"/>
        <v>0</v>
      </c>
      <c r="O32" s="15">
        <f t="shared" si="3"/>
        <v>0</v>
      </c>
    </row>
    <row r="33" spans="6:15" ht="23.25" customHeight="1">
      <c r="F33" s="10">
        <v>4</v>
      </c>
      <c r="G33" s="24" t="s">
        <v>48</v>
      </c>
      <c r="H33" s="26">
        <v>0</v>
      </c>
      <c r="I33" s="26">
        <f t="shared" si="0"/>
        <v>0</v>
      </c>
      <c r="J33" s="26">
        <v>0</v>
      </c>
      <c r="K33" s="26">
        <f t="shared" si="1"/>
        <v>0</v>
      </c>
      <c r="L33" s="26">
        <v>0</v>
      </c>
      <c r="M33" s="26">
        <f t="shared" si="2"/>
        <v>0</v>
      </c>
      <c r="N33" s="15">
        <f t="shared" si="4"/>
        <v>0</v>
      </c>
      <c r="O33" s="15">
        <f t="shared" si="3"/>
        <v>0</v>
      </c>
    </row>
    <row r="34" spans="6:15" ht="27.75" customHeight="1">
      <c r="F34" s="10">
        <v>5</v>
      </c>
      <c r="G34" s="24" t="s">
        <v>49</v>
      </c>
      <c r="H34" s="26">
        <v>0</v>
      </c>
      <c r="I34" s="26">
        <f t="shared" si="0"/>
        <v>0</v>
      </c>
      <c r="J34" s="26">
        <v>0</v>
      </c>
      <c r="K34" s="26">
        <f t="shared" si="1"/>
        <v>0</v>
      </c>
      <c r="L34" s="26">
        <v>0</v>
      </c>
      <c r="M34" s="26">
        <f t="shared" si="2"/>
        <v>0</v>
      </c>
      <c r="N34" s="15">
        <f t="shared" si="4"/>
        <v>0</v>
      </c>
      <c r="O34" s="15">
        <f t="shared" si="3"/>
        <v>0</v>
      </c>
    </row>
    <row r="35" spans="6:15" ht="22.5">
      <c r="F35" s="10">
        <v>6</v>
      </c>
      <c r="G35" s="24" t="s">
        <v>50</v>
      </c>
      <c r="H35" s="27">
        <f>H11+H28</f>
        <v>21906.668605971052</v>
      </c>
      <c r="I35" s="26">
        <f t="shared" si="0"/>
        <v>1568.4591255080584</v>
      </c>
      <c r="J35" s="27">
        <f>J11+J28</f>
        <v>1063.3002343685127</v>
      </c>
      <c r="K35" s="26">
        <f t="shared" si="1"/>
        <v>76.12946476469627</v>
      </c>
      <c r="L35" s="27">
        <f>L11+L28</f>
        <v>15.747963413158686</v>
      </c>
      <c r="M35" s="26">
        <f t="shared" si="2"/>
        <v>1.1275122369269484</v>
      </c>
      <c r="N35" s="69">
        <f t="shared" si="4"/>
        <v>22985.716803752723</v>
      </c>
      <c r="O35" s="69">
        <f t="shared" si="3"/>
        <v>1645.7161025096816</v>
      </c>
    </row>
    <row r="36" spans="6:15" ht="24.75" customHeight="1">
      <c r="F36" s="10">
        <v>7</v>
      </c>
      <c r="G36" s="24" t="s">
        <v>51</v>
      </c>
      <c r="H36" s="14">
        <v>0</v>
      </c>
      <c r="I36" s="14">
        <f t="shared" si="0"/>
        <v>0</v>
      </c>
      <c r="J36" s="14">
        <v>0</v>
      </c>
      <c r="K36" s="14">
        <f t="shared" si="1"/>
        <v>0</v>
      </c>
      <c r="L36" s="14">
        <v>0</v>
      </c>
      <c r="M36" s="14">
        <f t="shared" si="2"/>
        <v>0</v>
      </c>
      <c r="N36" s="15">
        <f t="shared" si="4"/>
        <v>0</v>
      </c>
      <c r="O36" s="15">
        <f t="shared" si="3"/>
        <v>0</v>
      </c>
    </row>
    <row r="37" spans="6:15" ht="27.75" customHeight="1">
      <c r="F37" s="10">
        <v>8</v>
      </c>
      <c r="G37" s="13" t="s">
        <v>52</v>
      </c>
      <c r="H37" s="12">
        <f>SUM(H38:H41)</f>
        <v>260.14761522496667</v>
      </c>
      <c r="I37" s="70">
        <v>18.62</v>
      </c>
      <c r="J37" s="28">
        <f>'[4]Д4'!G36*'[4]Д4'!G55/'[4]Д4'!G53</f>
        <v>16.161148603152675</v>
      </c>
      <c r="K37" s="14">
        <f t="shared" si="1"/>
        <v>1.1570951960444387</v>
      </c>
      <c r="L37" s="14">
        <f>'[4]Д5'!G31*'[4]Д5'!G41/'[4]Д5'!G39</f>
        <v>0.2393540070776777</v>
      </c>
      <c r="M37" s="14">
        <f>M40</f>
        <v>0.014052429713159283</v>
      </c>
      <c r="N37" s="15">
        <f t="shared" si="4"/>
        <v>276.54811783519705</v>
      </c>
      <c r="O37" s="15">
        <f t="shared" si="3"/>
        <v>19.800108672957474</v>
      </c>
    </row>
    <row r="38" spans="6:15" ht="23.25">
      <c r="F38" s="16" t="s">
        <v>53</v>
      </c>
      <c r="G38" s="22" t="s">
        <v>54</v>
      </c>
      <c r="H38" s="71">
        <f>'[4]Д3'!P36</f>
        <v>46.826570740494</v>
      </c>
      <c r="I38" s="72">
        <f t="shared" si="0"/>
        <v>3.3526577461512135</v>
      </c>
      <c r="J38" s="72">
        <f>'[4]Д4'!G37*'[4]Д4'!G55/'[4]Д4'!G53</f>
        <v>2.909006748567481</v>
      </c>
      <c r="K38" s="72">
        <f t="shared" si="1"/>
        <v>0.20827713528799893</v>
      </c>
      <c r="L38" s="72">
        <f>'[4]Д5'!G32*'[4]Д5'!G41/'[4]Д5'!G39</f>
        <v>0.043083721273981974</v>
      </c>
      <c r="M38" s="72">
        <f t="shared" si="2"/>
        <v>0.003084679693132525</v>
      </c>
      <c r="N38" s="73">
        <f t="shared" si="4"/>
        <v>49.77866121033546</v>
      </c>
      <c r="O38" s="73">
        <f t="shared" si="3"/>
        <v>3.5640195611323446</v>
      </c>
    </row>
    <row r="39" spans="6:15" ht="46.5">
      <c r="F39" s="16" t="s">
        <v>55</v>
      </c>
      <c r="G39" s="22" t="s">
        <v>56</v>
      </c>
      <c r="H39" s="20">
        <v>0</v>
      </c>
      <c r="I39" s="20">
        <f t="shared" si="0"/>
        <v>0</v>
      </c>
      <c r="J39" s="20">
        <v>0</v>
      </c>
      <c r="K39" s="20">
        <f t="shared" si="1"/>
        <v>0</v>
      </c>
      <c r="L39" s="20">
        <v>0</v>
      </c>
      <c r="M39" s="20">
        <f t="shared" si="2"/>
        <v>0</v>
      </c>
      <c r="N39" s="21">
        <f t="shared" si="4"/>
        <v>0</v>
      </c>
      <c r="O39" s="21">
        <f t="shared" si="3"/>
        <v>0</v>
      </c>
    </row>
    <row r="40" spans="6:15" ht="50.25" customHeight="1">
      <c r="F40" s="16" t="s">
        <v>57</v>
      </c>
      <c r="G40" s="22" t="s">
        <v>58</v>
      </c>
      <c r="H40" s="23">
        <f>'[4]Д3'!P39</f>
        <v>213.32104448447268</v>
      </c>
      <c r="I40" s="20">
        <f t="shared" si="0"/>
        <v>15.273218621355529</v>
      </c>
      <c r="J40" s="20">
        <f>'[4]Д4'!G40*'[4]Д4'!G55/'[4]Д4'!G53</f>
        <v>13.252141854585194</v>
      </c>
      <c r="K40" s="20">
        <f t="shared" si="1"/>
        <v>0.9488180607564397</v>
      </c>
      <c r="L40" s="20">
        <f>'[4]Д5'!G35*'[4]Д5'!G41/'[4]Д5'!G39</f>
        <v>0.1962702858036957</v>
      </c>
      <c r="M40" s="20">
        <f>L40/$L$44*1000</f>
        <v>0.014052429713159283</v>
      </c>
      <c r="N40" s="21">
        <f t="shared" si="4"/>
        <v>226.7694566248616</v>
      </c>
      <c r="O40" s="21">
        <f t="shared" si="3"/>
        <v>16.23608911182513</v>
      </c>
    </row>
    <row r="41" spans="6:15" ht="66" customHeight="1">
      <c r="F41" s="16" t="s">
        <v>59</v>
      </c>
      <c r="G41" s="22" t="s">
        <v>60</v>
      </c>
      <c r="H41" s="20">
        <v>0</v>
      </c>
      <c r="I41" s="20">
        <f t="shared" si="0"/>
        <v>0</v>
      </c>
      <c r="J41" s="20">
        <v>0</v>
      </c>
      <c r="K41" s="20">
        <f t="shared" si="1"/>
        <v>0</v>
      </c>
      <c r="L41" s="20">
        <v>0</v>
      </c>
      <c r="M41" s="20">
        <f t="shared" si="2"/>
        <v>0</v>
      </c>
      <c r="N41" s="21">
        <f t="shared" si="4"/>
        <v>0</v>
      </c>
      <c r="O41" s="21">
        <f t="shared" si="3"/>
        <v>0</v>
      </c>
    </row>
    <row r="42" spans="6:15" ht="42.75" customHeight="1">
      <c r="F42" s="10">
        <v>9</v>
      </c>
      <c r="G42" s="24" t="s">
        <v>61</v>
      </c>
      <c r="H42" s="12">
        <f>H35+H36+H37</f>
        <v>22166.81622119602</v>
      </c>
      <c r="I42" s="14">
        <f>I35+I37</f>
        <v>1587.0791255080583</v>
      </c>
      <c r="J42" s="12">
        <f>J35+J36+J37</f>
        <v>1079.4613829716654</v>
      </c>
      <c r="K42" s="14">
        <f t="shared" si="1"/>
        <v>77.2865599607407</v>
      </c>
      <c r="L42" s="12">
        <f>L35+L36+L37</f>
        <v>15.987317420236364</v>
      </c>
      <c r="M42" s="14">
        <f t="shared" si="2"/>
        <v>1.1446493463332401</v>
      </c>
      <c r="N42" s="15">
        <f t="shared" si="4"/>
        <v>23262.26492158792</v>
      </c>
      <c r="O42" s="15">
        <f>I42+K42+M42</f>
        <v>1665.5103348151322</v>
      </c>
    </row>
    <row r="43" spans="6:15" ht="45">
      <c r="F43" s="10">
        <v>10</v>
      </c>
      <c r="G43" s="24" t="s">
        <v>62</v>
      </c>
      <c r="H43" s="29"/>
      <c r="I43" s="14">
        <f>I42</f>
        <v>1587.0791255080583</v>
      </c>
      <c r="J43" s="25"/>
      <c r="K43" s="14">
        <f>K42</f>
        <v>77.2865599607407</v>
      </c>
      <c r="L43" s="25"/>
      <c r="M43" s="14">
        <f>M42</f>
        <v>1.1446493463332401</v>
      </c>
      <c r="N43" s="15"/>
      <c r="O43" s="15">
        <f>O42</f>
        <v>1665.5103348151322</v>
      </c>
    </row>
    <row r="44" spans="6:15" ht="61.5" customHeight="1">
      <c r="F44" s="10">
        <v>11</v>
      </c>
      <c r="G44" s="24" t="s">
        <v>63</v>
      </c>
      <c r="H44" s="29">
        <f>'[4]Д3'!P43</f>
        <v>13967</v>
      </c>
      <c r="I44" s="24"/>
      <c r="J44" s="29">
        <f>H44</f>
        <v>13967</v>
      </c>
      <c r="K44" s="24"/>
      <c r="L44" s="29">
        <f>J44</f>
        <v>13967</v>
      </c>
      <c r="M44" s="24"/>
      <c r="N44" s="74">
        <f>L44</f>
        <v>13967</v>
      </c>
      <c r="O44" s="69"/>
    </row>
    <row r="45" spans="6:15" ht="22.5">
      <c r="F45" s="29">
        <v>12</v>
      </c>
      <c r="G45" s="11" t="s">
        <v>64</v>
      </c>
      <c r="H45" s="29"/>
      <c r="I45" s="30">
        <f>I37/I35*100</f>
        <v>1.1871523903416084</v>
      </c>
      <c r="J45" s="11"/>
      <c r="K45" s="30">
        <f>K37/K35*100</f>
        <v>1.5199045463157148</v>
      </c>
      <c r="L45" s="11"/>
      <c r="M45" s="30">
        <f>M37/M35*100</f>
        <v>1.2463217030317464</v>
      </c>
      <c r="N45" s="26"/>
      <c r="O45" s="26">
        <v>1.4036897514069133</v>
      </c>
    </row>
    <row r="46" spans="6:15" ht="23.25">
      <c r="F46" s="208"/>
      <c r="G46" s="208"/>
      <c r="H46" s="208"/>
      <c r="I46" s="208"/>
      <c r="J46" s="208"/>
      <c r="K46" s="208"/>
      <c r="L46" s="208"/>
      <c r="M46" s="208"/>
      <c r="N46" s="208"/>
      <c r="O46" s="34"/>
    </row>
    <row r="47" spans="6:15" ht="17.25" customHeight="1">
      <c r="F47" s="6"/>
      <c r="G47" s="31" t="s">
        <v>140</v>
      </c>
      <c r="H47" s="31"/>
      <c r="I47" s="31"/>
      <c r="J47" s="31"/>
      <c r="K47" s="31"/>
      <c r="L47" s="31"/>
      <c r="M47" s="31" t="s">
        <v>141</v>
      </c>
      <c r="N47" s="31"/>
      <c r="O47" s="6"/>
    </row>
    <row r="48" spans="6:15" ht="21.75" customHeight="1">
      <c r="F48" s="6"/>
      <c r="G48" s="31"/>
      <c r="H48" s="31"/>
      <c r="I48" s="31"/>
      <c r="J48" s="31"/>
      <c r="K48" s="31"/>
      <c r="L48" s="31"/>
      <c r="M48" s="31"/>
      <c r="N48" s="31"/>
      <c r="O48" s="6"/>
    </row>
    <row r="49" spans="6:15" ht="23.25">
      <c r="F49" s="6"/>
      <c r="G49" s="31" t="s">
        <v>142</v>
      </c>
      <c r="H49" s="31"/>
      <c r="I49" s="31"/>
      <c r="J49" s="31"/>
      <c r="K49" s="31"/>
      <c r="L49" s="31"/>
      <c r="M49" s="31" t="s">
        <v>143</v>
      </c>
      <c r="N49" s="31"/>
      <c r="O49" s="6"/>
    </row>
    <row r="50" spans="6:15" ht="23.25"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6:15" ht="20.25"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6:15" ht="20.25"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6:15" ht="20.25"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6:15" ht="20.25"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6:15" ht="20.25"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6:15" ht="20.25"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6:15" ht="20.25"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6:15" ht="20.25"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6:15" ht="20.25"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6:15" ht="20.25"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6:15" ht="20.25"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6:15" ht="20.25"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6:15" ht="20.25"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6:15" ht="20.25"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6:15" ht="20.25"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6:15" ht="20.25"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6:15" ht="20.25"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6:15" ht="20.25"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6:15" ht="20.25"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6:15" ht="20.25"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6:15" ht="20.25"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6:15" ht="20.25"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6:15" ht="20.25"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6:15" ht="20.25"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6:15" ht="20.25"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6:15" ht="20.25"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6:15" ht="20.25"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6:15" ht="20.25"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6:15" ht="20.25"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6:15" ht="20.25"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6:15" ht="20.25"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6:15" ht="20.25"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6:15" ht="20.25"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6:15" ht="20.25"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6:15" ht="20.25"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6:15" ht="20.25"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6:15" ht="20.25"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6:15" ht="20.25"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6:15" ht="20.25"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6:15" ht="20.25">
      <c r="F90" s="2"/>
      <c r="G90" s="2"/>
      <c r="H90" s="2"/>
      <c r="I90" s="2"/>
      <c r="J90" s="2"/>
      <c r="K90" s="2"/>
      <c r="L90" s="2"/>
      <c r="M90" s="2"/>
      <c r="N90" s="2"/>
      <c r="O90" s="2"/>
    </row>
  </sheetData>
  <sheetProtection/>
  <mergeCells count="9">
    <mergeCell ref="F5:O5"/>
    <mergeCell ref="F46:N46"/>
    <mergeCell ref="F6:O6"/>
    <mergeCell ref="F8:F9"/>
    <mergeCell ref="G8:G9"/>
    <mergeCell ref="H8:I8"/>
    <mergeCell ref="J8:K8"/>
    <mergeCell ref="L8:M8"/>
    <mergeCell ref="N8:O8"/>
  </mergeCells>
  <conditionalFormatting sqref="N8:O43">
    <cfRule type="containsText" priority="5" dxfId="0" operator="containsText" stopIfTrue="1" text="Додаток2">
      <formula>NOT(ISERROR(SEARCH("Додаток2",N8)))</formula>
    </cfRule>
    <cfRule type="containsText" priority="6" dxfId="0" operator="containsText" stopIfTrue="1" text="Додаток2">
      <formula>NOT(ISERROR(SEARCH("Додаток2",N8)))</formula>
    </cfRule>
  </conditionalFormatting>
  <printOptions/>
  <pageMargins left="0.7" right="0.7" top="0.75" bottom="0.75" header="0.3" footer="0.3"/>
  <pageSetup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M52"/>
  <sheetViews>
    <sheetView view="pageBreakPreview" zoomScale="60" zoomScaleNormal="69" zoomScalePageLayoutView="0" workbookViewId="0" topLeftCell="A1">
      <selection activeCell="E3" sqref="E3"/>
    </sheetView>
  </sheetViews>
  <sheetFormatPr defaultColWidth="9.140625" defaultRowHeight="12.75"/>
  <cols>
    <col min="4" max="4" width="9.421875" style="0" bestFit="1" customWidth="1"/>
    <col min="5" max="5" width="57.28125" style="0" customWidth="1"/>
    <col min="6" max="6" width="16.8515625" style="0" customWidth="1"/>
    <col min="7" max="7" width="14.00390625" style="0" customWidth="1"/>
    <col min="8" max="8" width="13.7109375" style="0" customWidth="1"/>
    <col min="9" max="9" width="14.28125" style="0" customWidth="1"/>
    <col min="10" max="10" width="13.421875" style="0" customWidth="1"/>
    <col min="11" max="11" width="14.421875" style="0" customWidth="1"/>
    <col min="12" max="13" width="13.00390625" style="0" bestFit="1" customWidth="1"/>
  </cols>
  <sheetData>
    <row r="1" spans="4:13" ht="22.5">
      <c r="D1" s="35"/>
      <c r="E1" s="36"/>
      <c r="F1" s="36"/>
      <c r="G1" s="36"/>
      <c r="H1" s="36"/>
      <c r="I1" s="36"/>
      <c r="J1" s="36"/>
      <c r="K1" s="259" t="s">
        <v>132</v>
      </c>
      <c r="L1" s="260"/>
      <c r="M1" s="2"/>
    </row>
    <row r="2" spans="4:13" ht="16.5" customHeight="1">
      <c r="D2" s="35"/>
      <c r="E2" s="36"/>
      <c r="F2" s="36"/>
      <c r="G2" s="36"/>
      <c r="H2" s="36"/>
      <c r="I2" s="36"/>
      <c r="J2" s="36"/>
      <c r="K2" s="261" t="s">
        <v>131</v>
      </c>
      <c r="L2" s="260"/>
      <c r="M2" s="2"/>
    </row>
    <row r="3" spans="4:13" ht="16.5" customHeight="1">
      <c r="D3" s="35"/>
      <c r="E3" s="37"/>
      <c r="F3" s="37"/>
      <c r="G3" s="37"/>
      <c r="H3" s="37"/>
      <c r="I3" s="37"/>
      <c r="J3" s="37"/>
      <c r="K3" s="262" t="s">
        <v>151</v>
      </c>
      <c r="L3" s="2"/>
      <c r="M3" s="2"/>
    </row>
    <row r="4" spans="4:13" ht="22.5">
      <c r="D4" s="35"/>
      <c r="E4" s="37"/>
      <c r="F4" s="37"/>
      <c r="G4" s="37"/>
      <c r="H4" s="37"/>
      <c r="I4" s="37"/>
      <c r="J4" s="37"/>
      <c r="K4" s="37"/>
      <c r="L4" s="37"/>
      <c r="M4" s="37"/>
    </row>
    <row r="5" spans="4:13" ht="22.5">
      <c r="D5" s="35"/>
      <c r="E5" s="37"/>
      <c r="F5" s="37"/>
      <c r="G5" s="37"/>
      <c r="H5" s="37"/>
      <c r="I5" s="37"/>
      <c r="J5" s="37"/>
      <c r="K5" s="37"/>
      <c r="L5" s="37"/>
      <c r="M5" s="37"/>
    </row>
    <row r="6" spans="4:13" ht="21.75">
      <c r="D6" s="212" t="s">
        <v>65</v>
      </c>
      <c r="E6" s="212"/>
      <c r="F6" s="212"/>
      <c r="G6" s="212"/>
      <c r="H6" s="212"/>
      <c r="I6" s="212"/>
      <c r="J6" s="212"/>
      <c r="K6" s="212"/>
      <c r="L6" s="212"/>
      <c r="M6" s="212"/>
    </row>
    <row r="7" spans="4:13" ht="25.5" customHeight="1">
      <c r="D7" s="212" t="s">
        <v>1</v>
      </c>
      <c r="E7" s="212"/>
      <c r="F7" s="212"/>
      <c r="G7" s="212"/>
      <c r="H7" s="212"/>
      <c r="I7" s="212"/>
      <c r="J7" s="212"/>
      <c r="K7" s="212"/>
      <c r="L7" s="212"/>
      <c r="M7" s="212"/>
    </row>
    <row r="8" spans="4:13" ht="21.75"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9" spans="4:13" ht="22.5">
      <c r="D9" s="35"/>
      <c r="E9" s="53"/>
      <c r="F9" s="53"/>
      <c r="G9" s="53"/>
      <c r="H9" s="53"/>
      <c r="I9" s="53"/>
      <c r="J9" s="53"/>
      <c r="K9" s="53"/>
      <c r="L9" s="53"/>
      <c r="M9" s="54" t="s">
        <v>2</v>
      </c>
    </row>
    <row r="10" spans="4:13" ht="46.5" customHeight="1">
      <c r="D10" s="214" t="s">
        <v>3</v>
      </c>
      <c r="E10" s="215" t="s">
        <v>4</v>
      </c>
      <c r="F10" s="216" t="s">
        <v>5</v>
      </c>
      <c r="G10" s="217"/>
      <c r="H10" s="216" t="s">
        <v>6</v>
      </c>
      <c r="I10" s="217"/>
      <c r="J10" s="216" t="s">
        <v>7</v>
      </c>
      <c r="K10" s="217"/>
      <c r="L10" s="215" t="s">
        <v>139</v>
      </c>
      <c r="M10" s="215"/>
    </row>
    <row r="11" spans="4:13" ht="45">
      <c r="D11" s="214"/>
      <c r="E11" s="215"/>
      <c r="F11" s="39" t="s">
        <v>8</v>
      </c>
      <c r="G11" s="39" t="s">
        <v>9</v>
      </c>
      <c r="H11" s="39" t="s">
        <v>8</v>
      </c>
      <c r="I11" s="39" t="s">
        <v>9</v>
      </c>
      <c r="J11" s="39" t="s">
        <v>8</v>
      </c>
      <c r="K11" s="39" t="s">
        <v>9</v>
      </c>
      <c r="L11" s="39" t="s">
        <v>8</v>
      </c>
      <c r="M11" s="39" t="s">
        <v>9</v>
      </c>
    </row>
    <row r="12" spans="4:13" ht="22.5">
      <c r="D12" s="40">
        <v>1</v>
      </c>
      <c r="E12" s="41">
        <v>2</v>
      </c>
      <c r="F12" s="41">
        <v>3</v>
      </c>
      <c r="G12" s="41">
        <v>4</v>
      </c>
      <c r="H12" s="41">
        <v>5</v>
      </c>
      <c r="I12" s="41">
        <v>6</v>
      </c>
      <c r="J12" s="41">
        <v>7</v>
      </c>
      <c r="K12" s="41">
        <v>8</v>
      </c>
      <c r="L12" s="40">
        <v>9</v>
      </c>
      <c r="M12" s="40">
        <v>10</v>
      </c>
    </row>
    <row r="13" spans="4:13" ht="28.5" customHeight="1">
      <c r="D13" s="55">
        <v>1</v>
      </c>
      <c r="E13" s="56" t="s">
        <v>10</v>
      </c>
      <c r="F13" s="57">
        <f>F14+F22+F23+F26</f>
        <v>4159.4656228114945</v>
      </c>
      <c r="G13" s="58">
        <f>F13/$F$46*1000</f>
        <v>1633.084264943657</v>
      </c>
      <c r="H13" s="57">
        <f>H14+H22+H23+H26</f>
        <v>190.2597860325411</v>
      </c>
      <c r="I13" s="58">
        <f>H13/$H$46*1000</f>
        <v>74.6995626354696</v>
      </c>
      <c r="J13" s="57">
        <f>J14+J22+J23+J26</f>
        <v>2.8178344647937656</v>
      </c>
      <c r="K13" s="58">
        <f>J13/$J$46*1000</f>
        <v>1.10633469367639</v>
      </c>
      <c r="L13" s="68">
        <f>F13+H13+J13</f>
        <v>4352.54324330883</v>
      </c>
      <c r="M13" s="68">
        <f>L13/$L$46*1000</f>
        <v>1708.8901622728033</v>
      </c>
    </row>
    <row r="14" spans="4:13" ht="21.75">
      <c r="D14" s="55" t="s">
        <v>11</v>
      </c>
      <c r="E14" s="56" t="s">
        <v>12</v>
      </c>
      <c r="F14" s="57">
        <f>F15+F16+F20+F21</f>
        <v>3788.522374270561</v>
      </c>
      <c r="G14" s="58">
        <f aca="true" t="shared" si="0" ref="G14:G43">F14/$F$46*1000</f>
        <v>1487.444984008858</v>
      </c>
      <c r="H14" s="57">
        <f>H15+H16+H20+H21</f>
        <v>70.26229870038141</v>
      </c>
      <c r="I14" s="58">
        <f aca="true" t="shared" si="1" ref="I14:I44">H14/$H$46*1000</f>
        <v>27.58629709477087</v>
      </c>
      <c r="J14" s="58">
        <f>'[4]Д5'!G10*'[4]Д5'!G40/'[4]Д5'!G39</f>
        <v>0</v>
      </c>
      <c r="K14" s="58">
        <f aca="true" t="shared" si="2" ref="K14:K44">J14/$J$46*1000</f>
        <v>0</v>
      </c>
      <c r="L14" s="68">
        <f>F14+H14+J14</f>
        <v>3858.7846729709427</v>
      </c>
      <c r="M14" s="68">
        <f aca="true" t="shared" si="3" ref="M14:M43">L14/$L$46*1000</f>
        <v>1515.0312811036288</v>
      </c>
    </row>
    <row r="15" spans="4:13" ht="22.5">
      <c r="D15" s="47" t="s">
        <v>13</v>
      </c>
      <c r="E15" s="42" t="s">
        <v>14</v>
      </c>
      <c r="F15" s="48">
        <f>'[4]Д3'!X10</f>
        <v>3530.4065367731096</v>
      </c>
      <c r="G15" s="49">
        <f t="shared" si="0"/>
        <v>1386.1038621017312</v>
      </c>
      <c r="H15" s="49">
        <v>0</v>
      </c>
      <c r="I15" s="49">
        <f t="shared" si="1"/>
        <v>0</v>
      </c>
      <c r="J15" s="45">
        <v>0</v>
      </c>
      <c r="K15" s="49">
        <f t="shared" si="2"/>
        <v>0</v>
      </c>
      <c r="L15" s="46">
        <f aca="true" t="shared" si="4" ref="L15:L44">F15+H15+J15</f>
        <v>3530.4065367731096</v>
      </c>
      <c r="M15" s="46">
        <f t="shared" si="3"/>
        <v>1386.1038621017312</v>
      </c>
    </row>
    <row r="16" spans="4:13" ht="24" customHeight="1">
      <c r="D16" s="47" t="s">
        <v>15</v>
      </c>
      <c r="E16" s="42" t="s">
        <v>16</v>
      </c>
      <c r="F16" s="48">
        <f>'[4]Д3'!X11</f>
        <v>222.51473524429366</v>
      </c>
      <c r="G16" s="49">
        <f t="shared" si="0"/>
        <v>87.36346103034694</v>
      </c>
      <c r="H16" s="48">
        <f>'[4]Д4'!G12*'[4]Д4'!G57/'[4]Д4'!G53</f>
        <v>1.1492037199860912</v>
      </c>
      <c r="I16" s="49">
        <f t="shared" si="1"/>
        <v>0.4511989477762431</v>
      </c>
      <c r="J16" s="49">
        <v>0</v>
      </c>
      <c r="K16" s="49">
        <f t="shared" si="2"/>
        <v>0</v>
      </c>
      <c r="L16" s="52">
        <f t="shared" si="4"/>
        <v>223.66393896427977</v>
      </c>
      <c r="M16" s="52">
        <f t="shared" si="3"/>
        <v>87.8146599781232</v>
      </c>
    </row>
    <row r="17" spans="4:13" ht="45">
      <c r="D17" s="47" t="s">
        <v>17</v>
      </c>
      <c r="E17" s="42" t="s">
        <v>18</v>
      </c>
      <c r="F17" s="45">
        <v>0</v>
      </c>
      <c r="G17" s="45">
        <f t="shared" si="0"/>
        <v>0</v>
      </c>
      <c r="H17" s="45">
        <v>0</v>
      </c>
      <c r="I17" s="45">
        <f t="shared" si="1"/>
        <v>0</v>
      </c>
      <c r="J17" s="45">
        <v>0</v>
      </c>
      <c r="K17" s="45">
        <f t="shared" si="2"/>
        <v>0</v>
      </c>
      <c r="L17" s="46">
        <f t="shared" si="4"/>
        <v>0</v>
      </c>
      <c r="M17" s="46">
        <f t="shared" si="3"/>
        <v>0</v>
      </c>
    </row>
    <row r="18" spans="4:13" ht="22.5">
      <c r="D18" s="47" t="s">
        <v>19</v>
      </c>
      <c r="E18" s="44" t="s">
        <v>20</v>
      </c>
      <c r="F18" s="49">
        <v>0</v>
      </c>
      <c r="G18" s="49">
        <f t="shared" si="0"/>
        <v>0</v>
      </c>
      <c r="H18" s="49">
        <v>0</v>
      </c>
      <c r="I18" s="49">
        <f t="shared" si="1"/>
        <v>0</v>
      </c>
      <c r="J18" s="45">
        <v>0</v>
      </c>
      <c r="K18" s="49">
        <f t="shared" si="2"/>
        <v>0</v>
      </c>
      <c r="L18" s="46">
        <f t="shared" si="4"/>
        <v>0</v>
      </c>
      <c r="M18" s="46">
        <f t="shared" si="3"/>
        <v>0</v>
      </c>
    </row>
    <row r="19" spans="4:13" ht="67.5">
      <c r="D19" s="47" t="s">
        <v>21</v>
      </c>
      <c r="E19" s="50" t="s">
        <v>22</v>
      </c>
      <c r="F19" s="45">
        <v>0</v>
      </c>
      <c r="G19" s="45">
        <f t="shared" si="0"/>
        <v>0</v>
      </c>
      <c r="H19" s="45">
        <v>0</v>
      </c>
      <c r="I19" s="45">
        <f t="shared" si="1"/>
        <v>0</v>
      </c>
      <c r="J19" s="45">
        <v>0</v>
      </c>
      <c r="K19" s="45">
        <f t="shared" si="2"/>
        <v>0</v>
      </c>
      <c r="L19" s="46">
        <f t="shared" si="4"/>
        <v>0</v>
      </c>
      <c r="M19" s="46">
        <f t="shared" si="3"/>
        <v>0</v>
      </c>
    </row>
    <row r="20" spans="4:13" ht="45">
      <c r="D20" s="47" t="s">
        <v>23</v>
      </c>
      <c r="E20" s="50" t="s">
        <v>24</v>
      </c>
      <c r="F20" s="43">
        <f>'[4]Д3'!X13</f>
        <v>0.5051844768985821</v>
      </c>
      <c r="G20" s="45">
        <f t="shared" si="0"/>
        <v>0.19834490651691486</v>
      </c>
      <c r="H20" s="43">
        <f>'[4]Д4'!G14*'[4]Д4'!G57/'[4]Д4'!G53</f>
        <v>4.807061984601884</v>
      </c>
      <c r="I20" s="45">
        <f t="shared" si="1"/>
        <v>1.8873427501381561</v>
      </c>
      <c r="J20" s="45">
        <v>0</v>
      </c>
      <c r="K20" s="45">
        <f t="shared" si="2"/>
        <v>0</v>
      </c>
      <c r="L20" s="46">
        <f t="shared" si="4"/>
        <v>5.312246461500465</v>
      </c>
      <c r="M20" s="46">
        <f t="shared" si="3"/>
        <v>2.085687656655071</v>
      </c>
    </row>
    <row r="21" spans="4:13" ht="45">
      <c r="D21" s="47" t="s">
        <v>25</v>
      </c>
      <c r="E21" s="51" t="s">
        <v>26</v>
      </c>
      <c r="F21" s="43">
        <f>'[4]Д3'!X14</f>
        <v>35.095917776259355</v>
      </c>
      <c r="G21" s="45">
        <f t="shared" si="0"/>
        <v>13.7793159702628</v>
      </c>
      <c r="H21" s="43">
        <f>'[4]Д4'!G15*'[4]Д4'!G57/'[4]Д4'!G53</f>
        <v>64.30603299579343</v>
      </c>
      <c r="I21" s="45">
        <f t="shared" si="1"/>
        <v>25.247755396856473</v>
      </c>
      <c r="J21" s="45">
        <v>0</v>
      </c>
      <c r="K21" s="45">
        <f t="shared" si="2"/>
        <v>0</v>
      </c>
      <c r="L21" s="46">
        <f t="shared" si="4"/>
        <v>99.40195077205279</v>
      </c>
      <c r="M21" s="46">
        <f t="shared" si="3"/>
        <v>39.02707136711927</v>
      </c>
    </row>
    <row r="22" spans="4:13" ht="43.5">
      <c r="D22" s="55" t="s">
        <v>27</v>
      </c>
      <c r="E22" s="62" t="s">
        <v>28</v>
      </c>
      <c r="F22" s="60">
        <f>'[4]Д3'!X15+'[4]Д3'!X17</f>
        <v>336.3595356497955</v>
      </c>
      <c r="G22" s="61">
        <f t="shared" si="0"/>
        <v>132.0610662150748</v>
      </c>
      <c r="H22" s="61">
        <f>('[4]Д4'!G16+'[4]Д4'!G18)*'[4]Д4'!G57/'[4]Д4'!G53</f>
        <v>92.54836207654705</v>
      </c>
      <c r="I22" s="61">
        <f t="shared" si="1"/>
        <v>36.336223822751094</v>
      </c>
      <c r="J22" s="61">
        <f>('[4]Д5'!G11+'[4]Д5'!G13)*'[4]Д5'!G43/'[4]Д5'!G39</f>
        <v>2.8108955928718213</v>
      </c>
      <c r="K22" s="61">
        <f t="shared" si="2"/>
        <v>1.1036103623367968</v>
      </c>
      <c r="L22" s="59">
        <f t="shared" si="4"/>
        <v>431.71879331921434</v>
      </c>
      <c r="M22" s="59">
        <f t="shared" si="3"/>
        <v>169.5009004001627</v>
      </c>
    </row>
    <row r="23" spans="4:13" ht="21.75">
      <c r="D23" s="55" t="s">
        <v>29</v>
      </c>
      <c r="E23" s="63" t="s">
        <v>30</v>
      </c>
      <c r="F23" s="60">
        <f>'[4]Д3'!X16-'[4]Д3'!X17</f>
        <v>28.465416875103536</v>
      </c>
      <c r="G23" s="58">
        <f t="shared" si="0"/>
        <v>11.176056880684545</v>
      </c>
      <c r="H23" s="61">
        <f>('[4]Д4'!G17-'[4]Д4'!G18)*'[4]Д4'!G57/'[4]Д4'!G53</f>
        <v>27.069029824695107</v>
      </c>
      <c r="I23" s="58">
        <f t="shared" si="1"/>
        <v>10.627809118451161</v>
      </c>
      <c r="J23" s="61">
        <f>('[4]Д5'!G14+'[4]Д5'!G15)*'[4]Д5'!G43/'[4]Д5'!G39</f>
        <v>0.0013096571743835676</v>
      </c>
      <c r="K23" s="58">
        <f t="shared" si="2"/>
        <v>0.0005141959852310826</v>
      </c>
      <c r="L23" s="59">
        <f t="shared" si="4"/>
        <v>55.535756356973025</v>
      </c>
      <c r="M23" s="59">
        <f t="shared" si="3"/>
        <v>21.804380195120935</v>
      </c>
    </row>
    <row r="24" spans="4:13" ht="28.5" customHeight="1">
      <c r="D24" s="47" t="s">
        <v>31</v>
      </c>
      <c r="E24" s="50" t="s">
        <v>32</v>
      </c>
      <c r="F24" s="48">
        <f>'[4]Д3'!X18</f>
        <v>10.419090702344976</v>
      </c>
      <c r="G24" s="49">
        <f t="shared" si="0"/>
        <v>4.090730546660768</v>
      </c>
      <c r="H24" s="49">
        <f>'[4]Д4'!G19*'[4]Д4'!G57/'[4]Д4'!G53</f>
        <v>16.698343416345764</v>
      </c>
      <c r="I24" s="49">
        <f t="shared" si="1"/>
        <v>6.556083006025036</v>
      </c>
      <c r="J24" s="49">
        <v>0</v>
      </c>
      <c r="K24" s="49">
        <f t="shared" si="2"/>
        <v>0</v>
      </c>
      <c r="L24" s="46">
        <f t="shared" si="4"/>
        <v>27.11743411869074</v>
      </c>
      <c r="M24" s="46">
        <f t="shared" si="3"/>
        <v>10.646813552685803</v>
      </c>
    </row>
    <row r="25" spans="4:13" ht="25.5" customHeight="1">
      <c r="D25" s="47" t="s">
        <v>33</v>
      </c>
      <c r="E25" s="50" t="s">
        <v>34</v>
      </c>
      <c r="F25" s="48">
        <f>F23-F24</f>
        <v>18.04632617275856</v>
      </c>
      <c r="G25" s="49">
        <f t="shared" si="0"/>
        <v>7.085326334023778</v>
      </c>
      <c r="H25" s="49">
        <f>H23-H24</f>
        <v>10.370686408349343</v>
      </c>
      <c r="I25" s="49">
        <f t="shared" si="1"/>
        <v>4.071726112426126</v>
      </c>
      <c r="J25" s="49">
        <v>0</v>
      </c>
      <c r="K25" s="49">
        <f t="shared" si="2"/>
        <v>0</v>
      </c>
      <c r="L25" s="46">
        <f t="shared" si="4"/>
        <v>28.417012581107905</v>
      </c>
      <c r="M25" s="46">
        <f t="shared" si="3"/>
        <v>11.157052446449903</v>
      </c>
    </row>
    <row r="26" spans="4:13" ht="28.5" customHeight="1">
      <c r="D26" s="55" t="s">
        <v>35</v>
      </c>
      <c r="E26" s="62" t="s">
        <v>36</v>
      </c>
      <c r="F26" s="60">
        <f>'[4]Д3'!X20</f>
        <v>6.118296016033886</v>
      </c>
      <c r="G26" s="61">
        <f t="shared" si="0"/>
        <v>2.4021578390396097</v>
      </c>
      <c r="H26" s="61">
        <f>'[4]Д4'!G21*'[4]Д4'!G57/'[4]Д4'!G53</f>
        <v>0.3800954309175265</v>
      </c>
      <c r="I26" s="61">
        <f t="shared" si="1"/>
        <v>0.14923259949647683</v>
      </c>
      <c r="J26" s="61">
        <f>'[4]Д5'!G16*'[4]Д5'!G43/'[4]Д5'!G39</f>
        <v>0.005629214747560761</v>
      </c>
      <c r="K26" s="61">
        <f t="shared" si="2"/>
        <v>0.002210135354362293</v>
      </c>
      <c r="L26" s="59">
        <f t="shared" si="4"/>
        <v>6.5040206616989735</v>
      </c>
      <c r="M26" s="59">
        <f t="shared" si="3"/>
        <v>2.5536005738904493</v>
      </c>
    </row>
    <row r="27" spans="4:13" ht="45">
      <c r="D27" s="47" t="s">
        <v>37</v>
      </c>
      <c r="E27" s="50" t="s">
        <v>38</v>
      </c>
      <c r="F27" s="48">
        <f>'[4]Д3'!X21+'[4]Д3'!X22</f>
        <v>3.149661537748153</v>
      </c>
      <c r="G27" s="49">
        <f t="shared" si="0"/>
        <v>1.2366162299757177</v>
      </c>
      <c r="H27" s="49">
        <f>('[4]Д4'!G22+'[4]Д4'!G23)*'[4]Д4'!G57/'[4]Д4'!G53</f>
        <v>0.195670754062519</v>
      </c>
      <c r="I27" s="49">
        <f t="shared" si="1"/>
        <v>0.07682401023263408</v>
      </c>
      <c r="J27" s="49">
        <f>('[4]Д5'!G17+'[4]Д5'!G18)*'[4]Д5'!G43/'[4]Д5'!G39</f>
        <v>0.0028979735542628404</v>
      </c>
      <c r="K27" s="49">
        <f t="shared" si="2"/>
        <v>0.0011377988041864312</v>
      </c>
      <c r="L27" s="52">
        <f t="shared" si="4"/>
        <v>3.348230265364935</v>
      </c>
      <c r="M27" s="52">
        <f t="shared" si="3"/>
        <v>1.3145780390125383</v>
      </c>
    </row>
    <row r="28" spans="4:13" ht="22.5">
      <c r="D28" s="47" t="s">
        <v>39</v>
      </c>
      <c r="E28" s="50" t="s">
        <v>32</v>
      </c>
      <c r="F28" s="49">
        <f>'[2]9 (3)'!$V$12*'[4]Д3'!X43/'[4]Д3'!H43</f>
        <v>0.838942683512834</v>
      </c>
      <c r="G28" s="49">
        <f t="shared" si="0"/>
        <v>0.3293846421330326</v>
      </c>
      <c r="H28" s="49">
        <f>'[2]9 (3)'!$W$12*'[4]Д4'!G57/'[4]Д4'!G53</f>
        <v>0.05195447208786877</v>
      </c>
      <c r="I28" s="49">
        <f t="shared" si="1"/>
        <v>0.020398300780474585</v>
      </c>
      <c r="J28" s="49">
        <f>('[2]9 (3)'!$X$12*'[4]Д5'!G43/'[4]Д5'!G39)</f>
        <v>0.0006973754642667497</v>
      </c>
      <c r="K28" s="49">
        <f t="shared" si="2"/>
        <v>0.00027380269503994885</v>
      </c>
      <c r="L28" s="46">
        <f t="shared" si="4"/>
        <v>0.8915945310649694</v>
      </c>
      <c r="M28" s="46">
        <f t="shared" si="3"/>
        <v>0.3500567456085471</v>
      </c>
    </row>
    <row r="29" spans="4:13" ht="22.5">
      <c r="D29" s="47" t="s">
        <v>40</v>
      </c>
      <c r="E29" s="50" t="s">
        <v>41</v>
      </c>
      <c r="F29" s="48">
        <f>F26-F27-F28</f>
        <v>2.1296917947728993</v>
      </c>
      <c r="G29" s="49">
        <f t="shared" si="0"/>
        <v>0.8361569669308595</v>
      </c>
      <c r="H29" s="49">
        <f>H26-H27-H28</f>
        <v>0.13247020476713875</v>
      </c>
      <c r="I29" s="49">
        <f t="shared" si="1"/>
        <v>0.05201028848336818</v>
      </c>
      <c r="J29" s="49">
        <f>J26-J27-J28</f>
        <v>0.002033865729031171</v>
      </c>
      <c r="K29" s="49">
        <f t="shared" si="2"/>
        <v>0.0007985338551359133</v>
      </c>
      <c r="L29" s="46">
        <f t="shared" si="4"/>
        <v>2.2641958652690692</v>
      </c>
      <c r="M29" s="46">
        <f t="shared" si="3"/>
        <v>0.8889657892693636</v>
      </c>
    </row>
    <row r="30" spans="4:13" ht="21.75">
      <c r="D30" s="55" t="s">
        <v>42</v>
      </c>
      <c r="E30" s="75" t="s">
        <v>43</v>
      </c>
      <c r="F30" s="76">
        <f>'[4]Д3'!X24</f>
        <v>58.623699253613864</v>
      </c>
      <c r="G30" s="77">
        <f t="shared" si="0"/>
        <v>23.016764528313256</v>
      </c>
      <c r="H30" s="77">
        <f>'[4]Д4'!G25*'[4]Д4'!G57/'[4]Д4'!G53</f>
        <v>3.6419607231402984</v>
      </c>
      <c r="I30" s="77">
        <f t="shared" si="1"/>
        <v>1.4299021292266583</v>
      </c>
      <c r="J30" s="77">
        <f>'[4]Д5'!G20*'[4]Д5'!G43/'[4]Д5'!G39</f>
        <v>0.053939202659171785</v>
      </c>
      <c r="K30" s="77">
        <f t="shared" si="2"/>
        <v>0.02117754325055822</v>
      </c>
      <c r="L30" s="78">
        <f t="shared" si="4"/>
        <v>62.31959917941334</v>
      </c>
      <c r="M30" s="78">
        <f t="shared" si="3"/>
        <v>24.467844200790474</v>
      </c>
    </row>
    <row r="31" spans="4:13" ht="45">
      <c r="D31" s="47" t="s">
        <v>44</v>
      </c>
      <c r="E31" s="50" t="s">
        <v>38</v>
      </c>
      <c r="F31" s="43">
        <f>'[4]Д3'!X25+'[4]Д3'!X26</f>
        <v>55.09766638013725</v>
      </c>
      <c r="G31" s="45">
        <f t="shared" si="0"/>
        <v>21.632377848503044</v>
      </c>
      <c r="H31" s="45">
        <f>('[4]Д4'!G26+'[4]Д4'!G27)*'[4]Д4'!G57/'[4]Д4'!G53</f>
        <v>3.422908082355486</v>
      </c>
      <c r="I31" s="45">
        <f t="shared" si="1"/>
        <v>1.3438979514548435</v>
      </c>
      <c r="J31" s="45">
        <f>('[4]Д5'!G21+'[4]Д5'!G22)*'[4]Д5'!G43/'[4]Д5'!G39</f>
        <v>0.050694834496622224</v>
      </c>
      <c r="K31" s="45">
        <f t="shared" si="2"/>
        <v>0.01990374342230947</v>
      </c>
      <c r="L31" s="46">
        <f t="shared" si="4"/>
        <v>58.57126929698936</v>
      </c>
      <c r="M31" s="46">
        <f t="shared" si="3"/>
        <v>22.996179543380194</v>
      </c>
    </row>
    <row r="32" spans="4:13" ht="22.5">
      <c r="D32" s="47" t="s">
        <v>45</v>
      </c>
      <c r="E32" s="50" t="s">
        <v>32</v>
      </c>
      <c r="F32" s="48">
        <f>'[3]10 (3)'!$W$17*'[4]Д3'!X43/'[4]Д3'!H43</f>
        <v>0.1754858242555627</v>
      </c>
      <c r="G32" s="49">
        <f t="shared" si="0"/>
        <v>0.06889902797627118</v>
      </c>
      <c r="H32" s="49">
        <f>'[3]10 (3)'!$X$17*'[4]Д4'!G57/'[4]Д4'!G53</f>
        <v>0.01090065257097599</v>
      </c>
      <c r="I32" s="49">
        <f t="shared" si="1"/>
        <v>0.004279800773842163</v>
      </c>
      <c r="J32" s="49">
        <f>'[3]10 (3)'!$Y$17*'[4]Д5'!G43/'[4]Д5'!G39</f>
        <v>0.00016145986480218524</v>
      </c>
      <c r="K32" s="49">
        <f t="shared" si="2"/>
        <v>6.339217306721054E-05</v>
      </c>
      <c r="L32" s="52">
        <f t="shared" si="4"/>
        <v>0.18654793669134087</v>
      </c>
      <c r="M32" s="52">
        <f t="shared" si="3"/>
        <v>0.07324222092318054</v>
      </c>
    </row>
    <row r="33" spans="4:13" ht="22.5">
      <c r="D33" s="47" t="s">
        <v>46</v>
      </c>
      <c r="E33" s="50" t="s">
        <v>41</v>
      </c>
      <c r="F33" s="48">
        <f>F30-F31-F32</f>
        <v>3.3505470492210536</v>
      </c>
      <c r="G33" s="49">
        <f t="shared" si="0"/>
        <v>1.3154876518339433</v>
      </c>
      <c r="H33" s="49">
        <f>H30-H31-H32</f>
        <v>0.20815198821383635</v>
      </c>
      <c r="I33" s="49">
        <f t="shared" si="1"/>
        <v>0.08172437699797265</v>
      </c>
      <c r="J33" s="49">
        <f>J30-J31-J32</f>
        <v>0.0030829082977473763</v>
      </c>
      <c r="K33" s="49">
        <f t="shared" si="2"/>
        <v>0.0012104076551815376</v>
      </c>
      <c r="L33" s="46">
        <f t="shared" si="4"/>
        <v>3.5617819457326374</v>
      </c>
      <c r="M33" s="46">
        <f t="shared" si="3"/>
        <v>1.3984224364870976</v>
      </c>
    </row>
    <row r="34" spans="4:13" ht="21.75">
      <c r="D34" s="55">
        <v>3</v>
      </c>
      <c r="E34" s="62" t="s">
        <v>47</v>
      </c>
      <c r="F34" s="58">
        <v>0</v>
      </c>
      <c r="G34" s="58">
        <f t="shared" si="0"/>
        <v>0</v>
      </c>
      <c r="H34" s="58">
        <v>0</v>
      </c>
      <c r="I34" s="58">
        <f t="shared" si="1"/>
        <v>0</v>
      </c>
      <c r="J34" s="58">
        <v>0</v>
      </c>
      <c r="K34" s="58">
        <f t="shared" si="2"/>
        <v>0</v>
      </c>
      <c r="L34" s="68">
        <f t="shared" si="4"/>
        <v>0</v>
      </c>
      <c r="M34" s="68">
        <f t="shared" si="3"/>
        <v>0</v>
      </c>
    </row>
    <row r="35" spans="4:13" ht="21.75">
      <c r="D35" s="55">
        <v>4</v>
      </c>
      <c r="E35" s="62" t="s">
        <v>48</v>
      </c>
      <c r="F35" s="58">
        <v>0</v>
      </c>
      <c r="G35" s="58">
        <f t="shared" si="0"/>
        <v>0</v>
      </c>
      <c r="H35" s="58">
        <v>0</v>
      </c>
      <c r="I35" s="58">
        <f t="shared" si="1"/>
        <v>0</v>
      </c>
      <c r="J35" s="58">
        <v>0</v>
      </c>
      <c r="K35" s="58">
        <f t="shared" si="2"/>
        <v>0</v>
      </c>
      <c r="L35" s="68">
        <f t="shared" si="4"/>
        <v>0</v>
      </c>
      <c r="M35" s="68">
        <f t="shared" si="3"/>
        <v>0</v>
      </c>
    </row>
    <row r="36" spans="4:13" ht="21.75">
      <c r="D36" s="55">
        <v>5</v>
      </c>
      <c r="E36" s="62" t="s">
        <v>49</v>
      </c>
      <c r="F36" s="58">
        <v>0</v>
      </c>
      <c r="G36" s="58">
        <f t="shared" si="0"/>
        <v>0</v>
      </c>
      <c r="H36" s="58">
        <v>0</v>
      </c>
      <c r="I36" s="58">
        <f t="shared" si="1"/>
        <v>0</v>
      </c>
      <c r="J36" s="58">
        <v>0</v>
      </c>
      <c r="K36" s="58">
        <f t="shared" si="2"/>
        <v>0</v>
      </c>
      <c r="L36" s="59">
        <f t="shared" si="4"/>
        <v>0</v>
      </c>
      <c r="M36" s="59">
        <f t="shared" si="3"/>
        <v>0</v>
      </c>
    </row>
    <row r="37" spans="4:13" ht="21.75">
      <c r="D37" s="55">
        <v>6</v>
      </c>
      <c r="E37" s="62" t="s">
        <v>50</v>
      </c>
      <c r="F37" s="57">
        <f>F13+F30</f>
        <v>4218.089322065109</v>
      </c>
      <c r="G37" s="58">
        <f t="shared" si="0"/>
        <v>1656.1010294719704</v>
      </c>
      <c r="H37" s="57">
        <f>H13+H30</f>
        <v>193.9017467556814</v>
      </c>
      <c r="I37" s="58">
        <f t="shared" si="1"/>
        <v>76.12946476469625</v>
      </c>
      <c r="J37" s="57">
        <f>J13+J30</f>
        <v>2.8717736674529375</v>
      </c>
      <c r="K37" s="58">
        <f t="shared" si="2"/>
        <v>1.1275122369269484</v>
      </c>
      <c r="L37" s="68">
        <f t="shared" si="4"/>
        <v>4414.862842488243</v>
      </c>
      <c r="M37" s="68">
        <f t="shared" si="3"/>
        <v>1733.3580064735936</v>
      </c>
    </row>
    <row r="38" spans="4:13" ht="21.75">
      <c r="D38" s="55">
        <v>7</v>
      </c>
      <c r="E38" s="62" t="s">
        <v>51</v>
      </c>
      <c r="F38" s="58">
        <v>0</v>
      </c>
      <c r="G38" s="58">
        <f t="shared" si="0"/>
        <v>0</v>
      </c>
      <c r="H38" s="58">
        <v>0</v>
      </c>
      <c r="I38" s="58">
        <f t="shared" si="1"/>
        <v>0</v>
      </c>
      <c r="J38" s="58">
        <v>0</v>
      </c>
      <c r="K38" s="58">
        <f t="shared" si="2"/>
        <v>0</v>
      </c>
      <c r="L38" s="59">
        <f t="shared" si="4"/>
        <v>0</v>
      </c>
      <c r="M38" s="59">
        <f t="shared" si="3"/>
        <v>0</v>
      </c>
    </row>
    <row r="39" spans="4:13" ht="21.75">
      <c r="D39" s="65">
        <v>8</v>
      </c>
      <c r="E39" s="56" t="s">
        <v>52</v>
      </c>
      <c r="F39" s="57">
        <f>SUM(F40:F43)</f>
        <v>47.52019837641987</v>
      </c>
      <c r="G39" s="58">
        <f>F39/F46*1000</f>
        <v>18.657321702559823</v>
      </c>
      <c r="H39" s="79">
        <f>'[4]Д4'!G36*'[4]Д4'!G57/'[4]Д4'!G53</f>
        <v>2.947121464325185</v>
      </c>
      <c r="I39" s="58">
        <f t="shared" si="1"/>
        <v>1.1570951960444387</v>
      </c>
      <c r="J39" s="58">
        <f>'[4]Д5'!G31*'[4]Д5'!G43/'[4]Д5'!G39</f>
        <v>0.04364821765782524</v>
      </c>
      <c r="K39" s="58">
        <f>K42</f>
        <v>0.014052429713159285</v>
      </c>
      <c r="L39" s="68">
        <f t="shared" si="4"/>
        <v>50.51096805840288</v>
      </c>
      <c r="M39" s="68">
        <f t="shared" si="3"/>
        <v>19.831554008010556</v>
      </c>
    </row>
    <row r="40" spans="4:13" ht="22.5">
      <c r="D40" s="47" t="s">
        <v>53</v>
      </c>
      <c r="E40" s="50" t="s">
        <v>54</v>
      </c>
      <c r="F40" s="48">
        <f>'[4]Д3'!X36</f>
        <v>8.553635707755575</v>
      </c>
      <c r="G40" s="49">
        <f t="shared" si="0"/>
        <v>3.3583179064607673</v>
      </c>
      <c r="H40" s="45">
        <f>'[4]Д4'!G37*'[4]Д4'!G57/'[4]Д4'!G53</f>
        <v>0.5304818635785333</v>
      </c>
      <c r="I40" s="49">
        <f t="shared" si="1"/>
        <v>0.20827713528799893</v>
      </c>
      <c r="J40" s="49">
        <f>'[4]Д5'!G32*'[4]Д5'!G43/'[4]Д5'!G39</f>
        <v>0.00785667917840854</v>
      </c>
      <c r="K40" s="49">
        <f t="shared" si="2"/>
        <v>0.0030846796931325244</v>
      </c>
      <c r="L40" s="46">
        <f t="shared" si="4"/>
        <v>9.091974250512516</v>
      </c>
      <c r="M40" s="46">
        <f t="shared" si="3"/>
        <v>3.569679721441899</v>
      </c>
    </row>
    <row r="41" spans="4:13" ht="30" customHeight="1">
      <c r="D41" s="47" t="s">
        <v>55</v>
      </c>
      <c r="E41" s="50" t="s">
        <v>56</v>
      </c>
      <c r="F41" s="49">
        <v>0</v>
      </c>
      <c r="G41" s="49">
        <f t="shared" si="0"/>
        <v>0</v>
      </c>
      <c r="H41" s="49">
        <v>0</v>
      </c>
      <c r="I41" s="49">
        <f t="shared" si="1"/>
        <v>0</v>
      </c>
      <c r="J41" s="49">
        <v>0</v>
      </c>
      <c r="K41" s="49">
        <f t="shared" si="2"/>
        <v>0</v>
      </c>
      <c r="L41" s="52">
        <f t="shared" si="4"/>
        <v>0</v>
      </c>
      <c r="M41" s="52">
        <f t="shared" si="3"/>
        <v>0</v>
      </c>
    </row>
    <row r="42" spans="4:13" ht="45">
      <c r="D42" s="47" t="s">
        <v>57</v>
      </c>
      <c r="E42" s="50" t="s">
        <v>58</v>
      </c>
      <c r="F42" s="43">
        <f>'[4]Д3'!X39</f>
        <v>38.966562668664295</v>
      </c>
      <c r="G42" s="45">
        <f t="shared" si="0"/>
        <v>15.299003796099054</v>
      </c>
      <c r="H42" s="45">
        <f>'[4]Д4'!G40*'[4]Д4'!G57/'[4]Д4'!G53</f>
        <v>2.416639600746652</v>
      </c>
      <c r="I42" s="45">
        <f t="shared" si="1"/>
        <v>0.9488180607564397</v>
      </c>
      <c r="J42" s="45">
        <f>'[4]Д5'!G35*'[4]Д5'!G43/'[4]Д5'!G39</f>
        <v>0.0357915384794167</v>
      </c>
      <c r="K42" s="45">
        <f t="shared" si="2"/>
        <v>0.014052429713159285</v>
      </c>
      <c r="L42" s="46">
        <f t="shared" si="4"/>
        <v>41.41899380789036</v>
      </c>
      <c r="M42" s="46">
        <f t="shared" si="3"/>
        <v>16.261874286568652</v>
      </c>
    </row>
    <row r="43" spans="4:13" ht="45">
      <c r="D43" s="80" t="s">
        <v>59</v>
      </c>
      <c r="E43" s="50" t="s">
        <v>60</v>
      </c>
      <c r="F43" s="49">
        <v>0</v>
      </c>
      <c r="G43" s="49">
        <f t="shared" si="0"/>
        <v>0</v>
      </c>
      <c r="H43" s="49">
        <v>0</v>
      </c>
      <c r="I43" s="49">
        <f t="shared" si="1"/>
        <v>0</v>
      </c>
      <c r="J43" s="49">
        <v>0</v>
      </c>
      <c r="K43" s="49">
        <f t="shared" si="2"/>
        <v>0</v>
      </c>
      <c r="L43" s="52">
        <f t="shared" si="4"/>
        <v>0</v>
      </c>
      <c r="M43" s="52">
        <f t="shared" si="3"/>
        <v>0</v>
      </c>
    </row>
    <row r="44" spans="4:13" ht="43.5">
      <c r="D44" s="55">
        <v>9</v>
      </c>
      <c r="E44" s="62" t="s">
        <v>61</v>
      </c>
      <c r="F44" s="60">
        <f>F37+F38+F39</f>
        <v>4265.609520441529</v>
      </c>
      <c r="G44" s="60">
        <f>G37+G38+G39</f>
        <v>1674.7583511745302</v>
      </c>
      <c r="H44" s="60">
        <f>H37+H38+H39</f>
        <v>196.84886822000658</v>
      </c>
      <c r="I44" s="61">
        <f t="shared" si="1"/>
        <v>77.2865599607407</v>
      </c>
      <c r="J44" s="60">
        <f>J37+J38+J39</f>
        <v>2.9154218851107627</v>
      </c>
      <c r="K44" s="61">
        <f t="shared" si="2"/>
        <v>1.1446493463332403</v>
      </c>
      <c r="L44" s="59">
        <f t="shared" si="4"/>
        <v>4465.373810546646</v>
      </c>
      <c r="M44" s="59">
        <f>G44+I44+K44</f>
        <v>1753.189560481604</v>
      </c>
    </row>
    <row r="45" spans="4:13" ht="22.5" customHeight="1">
      <c r="D45" s="65">
        <v>10</v>
      </c>
      <c r="E45" s="62" t="s">
        <v>62</v>
      </c>
      <c r="F45" s="62"/>
      <c r="G45" s="81">
        <f>G44</f>
        <v>1674.7583511745302</v>
      </c>
      <c r="H45" s="62"/>
      <c r="I45" s="81">
        <f>I44</f>
        <v>77.2865599607407</v>
      </c>
      <c r="J45" s="62"/>
      <c r="K45" s="81">
        <f>K44</f>
        <v>1.1446493463332403</v>
      </c>
      <c r="L45" s="82"/>
      <c r="M45" s="68">
        <f>M44</f>
        <v>1753.189560481604</v>
      </c>
    </row>
    <row r="46" spans="4:13" ht="43.5">
      <c r="D46" s="55">
        <v>11</v>
      </c>
      <c r="E46" s="63" t="s">
        <v>63</v>
      </c>
      <c r="F46" s="55">
        <f>'[4]Д3'!X43</f>
        <v>2547</v>
      </c>
      <c r="G46" s="63"/>
      <c r="H46" s="55">
        <f>F46</f>
        <v>2547</v>
      </c>
      <c r="I46" s="63"/>
      <c r="J46" s="55">
        <f>H46</f>
        <v>2547</v>
      </c>
      <c r="K46" s="63"/>
      <c r="L46" s="64">
        <f>J46</f>
        <v>2547</v>
      </c>
      <c r="M46" s="59"/>
    </row>
    <row r="47" spans="4:13" ht="24" customHeight="1">
      <c r="D47" s="65">
        <v>12</v>
      </c>
      <c r="E47" s="56" t="s">
        <v>64</v>
      </c>
      <c r="F47" s="65"/>
      <c r="G47" s="66">
        <f>G39/G37*100</f>
        <v>1.1265811306517035</v>
      </c>
      <c r="H47" s="56"/>
      <c r="I47" s="66">
        <f>I39/I37*100</f>
        <v>1.519904546315715</v>
      </c>
      <c r="J47" s="56"/>
      <c r="K47" s="66">
        <f>K39/K37*100</f>
        <v>1.2463217030317466</v>
      </c>
      <c r="L47" s="58"/>
      <c r="M47" s="58">
        <v>1.4036897514069133</v>
      </c>
    </row>
    <row r="48" spans="4:13" ht="21.75">
      <c r="D48" s="213"/>
      <c r="E48" s="213"/>
      <c r="F48" s="213"/>
      <c r="G48" s="213"/>
      <c r="H48" s="213"/>
      <c r="I48" s="213"/>
      <c r="J48" s="213"/>
      <c r="K48" s="213"/>
      <c r="L48" s="213"/>
      <c r="M48" s="67"/>
    </row>
    <row r="49" spans="4:13" ht="23.25">
      <c r="D49" s="38"/>
      <c r="E49" s="31" t="s">
        <v>140</v>
      </c>
      <c r="F49" s="31"/>
      <c r="G49" s="31"/>
      <c r="H49" s="31"/>
      <c r="I49" s="31"/>
      <c r="J49" s="31"/>
      <c r="K49" s="31" t="s">
        <v>141</v>
      </c>
      <c r="L49" s="31"/>
      <c r="M49" s="38"/>
    </row>
    <row r="50" spans="4:13" ht="23.25">
      <c r="D50" s="38"/>
      <c r="E50" s="31"/>
      <c r="F50" s="31"/>
      <c r="G50" s="31"/>
      <c r="H50" s="31"/>
      <c r="I50" s="31"/>
      <c r="J50" s="31"/>
      <c r="K50" s="31"/>
      <c r="L50" s="31"/>
      <c r="M50" s="38"/>
    </row>
    <row r="51" spans="4:13" ht="23.25">
      <c r="D51" s="38"/>
      <c r="E51" s="31" t="s">
        <v>142</v>
      </c>
      <c r="F51" s="31"/>
      <c r="G51" s="31"/>
      <c r="H51" s="31"/>
      <c r="I51" s="31"/>
      <c r="J51" s="31"/>
      <c r="K51" s="31" t="s">
        <v>143</v>
      </c>
      <c r="L51" s="31"/>
      <c r="M51" s="38"/>
    </row>
    <row r="52" spans="4:13" ht="21.75">
      <c r="D52" s="38"/>
      <c r="E52" s="38"/>
      <c r="F52" s="38"/>
      <c r="G52" s="38"/>
      <c r="H52" s="38"/>
      <c r="I52" s="38"/>
      <c r="J52" s="38"/>
      <c r="K52" s="38"/>
      <c r="L52" s="38"/>
      <c r="M52" s="38"/>
    </row>
  </sheetData>
  <sheetProtection/>
  <mergeCells count="10">
    <mergeCell ref="D6:M6"/>
    <mergeCell ref="D48:L48"/>
    <mergeCell ref="D7:M7"/>
    <mergeCell ref="D8:M8"/>
    <mergeCell ref="D10:D11"/>
    <mergeCell ref="E10:E11"/>
    <mergeCell ref="F10:G10"/>
    <mergeCell ref="H10:I10"/>
    <mergeCell ref="J10:K10"/>
    <mergeCell ref="L10:M10"/>
  </mergeCells>
  <conditionalFormatting sqref="L10:M45">
    <cfRule type="containsText" priority="5" dxfId="0" operator="containsText" stopIfTrue="1" text="Додаток2">
      <formula>NOT(ISERROR(SEARCH("Додаток2",L10)))</formula>
    </cfRule>
    <cfRule type="containsText" priority="6" dxfId="0" operator="containsText" stopIfTrue="1" text="Додаток2">
      <formula>NOT(ISERROR(SEARCH("Додаток2",L10)))</formula>
    </cfRule>
  </conditionalFormatting>
  <printOptions/>
  <pageMargins left="0.7" right="0.7" top="0.75" bottom="0.75" header="0.3" footer="0.3"/>
  <pageSetup horizontalDpi="600" verticalDpi="600" orientation="portrait" paperSize="9" scale="43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1:M50"/>
  <sheetViews>
    <sheetView view="pageBreakPreview" zoomScale="60" zoomScaleNormal="60" zoomScalePageLayoutView="0" workbookViewId="0" topLeftCell="A1">
      <selection activeCell="E3" sqref="E3"/>
    </sheetView>
  </sheetViews>
  <sheetFormatPr defaultColWidth="9.140625" defaultRowHeight="12.75"/>
  <cols>
    <col min="5" max="5" width="58.7109375" style="0" customWidth="1"/>
    <col min="6" max="6" width="16.421875" style="0" customWidth="1"/>
    <col min="7" max="7" width="14.28125" style="0" customWidth="1"/>
    <col min="8" max="8" width="13.8515625" style="0" customWidth="1"/>
    <col min="9" max="9" width="10.57421875" style="0" customWidth="1"/>
    <col min="10" max="10" width="10.28125" style="0" customWidth="1"/>
    <col min="11" max="11" width="11.421875" style="0" customWidth="1"/>
    <col min="12" max="12" width="14.8515625" style="0" customWidth="1"/>
    <col min="13" max="13" width="14.421875" style="0" customWidth="1"/>
  </cols>
  <sheetData>
    <row r="1" spans="4:13" ht="22.5">
      <c r="D1" s="83"/>
      <c r="E1" s="84"/>
      <c r="F1" s="84"/>
      <c r="G1" s="84"/>
      <c r="H1" s="84"/>
      <c r="I1" s="84"/>
      <c r="J1" s="84"/>
      <c r="K1" s="259" t="s">
        <v>66</v>
      </c>
      <c r="L1" s="260"/>
      <c r="M1" s="263"/>
    </row>
    <row r="2" spans="4:13" ht="16.5" customHeight="1">
      <c r="D2" s="83"/>
      <c r="E2" s="84"/>
      <c r="F2" s="84"/>
      <c r="G2" s="84"/>
      <c r="H2" s="84"/>
      <c r="I2" s="84"/>
      <c r="J2" s="84"/>
      <c r="K2" s="261" t="s">
        <v>131</v>
      </c>
      <c r="L2" s="260"/>
      <c r="M2" s="263"/>
    </row>
    <row r="3" spans="4:13" ht="16.5" customHeight="1">
      <c r="D3" s="83"/>
      <c r="E3" s="89"/>
      <c r="F3" s="89"/>
      <c r="G3" s="89"/>
      <c r="H3" s="89"/>
      <c r="I3" s="89"/>
      <c r="J3" s="89"/>
      <c r="K3" s="262" t="s">
        <v>152</v>
      </c>
      <c r="L3" s="2"/>
      <c r="M3" s="263"/>
    </row>
    <row r="4" spans="4:13" ht="22.5">
      <c r="D4" s="83"/>
      <c r="E4" s="89"/>
      <c r="F4" s="89"/>
      <c r="G4" s="89"/>
      <c r="H4" s="89"/>
      <c r="I4" s="89"/>
      <c r="J4" s="89"/>
      <c r="K4" s="89"/>
      <c r="L4" s="89"/>
      <c r="M4" s="89"/>
    </row>
    <row r="5" spans="4:13" ht="21.75">
      <c r="D5" s="218" t="s">
        <v>67</v>
      </c>
      <c r="E5" s="218"/>
      <c r="F5" s="218"/>
      <c r="G5" s="218"/>
      <c r="H5" s="218"/>
      <c r="I5" s="218"/>
      <c r="J5" s="218"/>
      <c r="K5" s="218"/>
      <c r="L5" s="218"/>
      <c r="M5" s="218"/>
    </row>
    <row r="6" spans="4:13" ht="31.5" customHeight="1">
      <c r="D6" s="218" t="s">
        <v>1</v>
      </c>
      <c r="E6" s="218"/>
      <c r="F6" s="218"/>
      <c r="G6" s="218"/>
      <c r="H6" s="218"/>
      <c r="I6" s="218"/>
      <c r="J6" s="218"/>
      <c r="K6" s="218"/>
      <c r="L6" s="218"/>
      <c r="M6" s="218"/>
    </row>
    <row r="7" spans="4:13" ht="21.75">
      <c r="D7" s="218"/>
      <c r="E7" s="218"/>
      <c r="F7" s="218"/>
      <c r="G7" s="218"/>
      <c r="H7" s="218"/>
      <c r="I7" s="218"/>
      <c r="J7" s="218"/>
      <c r="K7" s="218"/>
      <c r="L7" s="218"/>
      <c r="M7" s="218"/>
    </row>
    <row r="8" spans="4:13" ht="22.5">
      <c r="D8" s="83"/>
      <c r="E8" s="92"/>
      <c r="F8" s="92"/>
      <c r="G8" s="92"/>
      <c r="H8" s="92"/>
      <c r="I8" s="92"/>
      <c r="J8" s="92"/>
      <c r="K8" s="92"/>
      <c r="L8" s="92"/>
      <c r="M8" s="93" t="s">
        <v>2</v>
      </c>
    </row>
    <row r="9" spans="4:13" ht="73.5" customHeight="1">
      <c r="D9" s="220" t="s">
        <v>3</v>
      </c>
      <c r="E9" s="221" t="s">
        <v>4</v>
      </c>
      <c r="F9" s="222" t="s">
        <v>5</v>
      </c>
      <c r="G9" s="223"/>
      <c r="H9" s="222" t="s">
        <v>6</v>
      </c>
      <c r="I9" s="223"/>
      <c r="J9" s="222" t="s">
        <v>7</v>
      </c>
      <c r="K9" s="223"/>
      <c r="L9" s="221" t="s">
        <v>139</v>
      </c>
      <c r="M9" s="221"/>
    </row>
    <row r="10" spans="4:13" ht="67.5">
      <c r="D10" s="220"/>
      <c r="E10" s="221"/>
      <c r="F10" s="95" t="s">
        <v>8</v>
      </c>
      <c r="G10" s="95" t="s">
        <v>9</v>
      </c>
      <c r="H10" s="95" t="s">
        <v>8</v>
      </c>
      <c r="I10" s="95" t="s">
        <v>9</v>
      </c>
      <c r="J10" s="95" t="s">
        <v>8</v>
      </c>
      <c r="K10" s="95" t="s">
        <v>9</v>
      </c>
      <c r="L10" s="95" t="s">
        <v>8</v>
      </c>
      <c r="M10" s="95" t="s">
        <v>9</v>
      </c>
    </row>
    <row r="11" spans="4:13" ht="22.5">
      <c r="D11" s="96">
        <v>1</v>
      </c>
      <c r="E11" s="97">
        <v>2</v>
      </c>
      <c r="F11" s="97">
        <v>3</v>
      </c>
      <c r="G11" s="97">
        <v>4</v>
      </c>
      <c r="H11" s="97">
        <v>5</v>
      </c>
      <c r="I11" s="97">
        <v>6</v>
      </c>
      <c r="J11" s="97">
        <v>7</v>
      </c>
      <c r="K11" s="97">
        <v>8</v>
      </c>
      <c r="L11" s="96">
        <v>9</v>
      </c>
      <c r="M11" s="96">
        <v>10</v>
      </c>
    </row>
    <row r="12" spans="4:13" ht="30.75" customHeight="1">
      <c r="D12" s="94">
        <v>1</v>
      </c>
      <c r="E12" s="98" t="s">
        <v>10</v>
      </c>
      <c r="F12" s="99">
        <f>F13+F21+F22+F25</f>
        <v>62083.257285495965</v>
      </c>
      <c r="G12" s="100">
        <f aca="true" t="shared" si="0" ref="G12:G35">F12/$F$45*1000</f>
        <v>1098.2938646221446</v>
      </c>
      <c r="H12" s="99">
        <f>H13+H21+H22+H25</f>
        <v>4222.542177095191</v>
      </c>
      <c r="I12" s="101">
        <f>H12/$H$45*1000</f>
        <v>74.6995626354696</v>
      </c>
      <c r="J12" s="99">
        <f>J13+J21+J22+J25</f>
        <v>62.53778122944531</v>
      </c>
      <c r="K12" s="101">
        <f>J12/$J$45*1000</f>
        <v>1.1063346936763903</v>
      </c>
      <c r="L12" s="102">
        <f>F12+H12+J12</f>
        <v>66368.3372438206</v>
      </c>
      <c r="M12" s="102">
        <f>L12/$L$45*1000</f>
        <v>1174.0997619512905</v>
      </c>
    </row>
    <row r="13" spans="4:13" ht="27" customHeight="1">
      <c r="D13" s="94" t="s">
        <v>11</v>
      </c>
      <c r="E13" s="98" t="s">
        <v>12</v>
      </c>
      <c r="F13" s="103">
        <f>F14+F15+F19+F20</f>
        <v>53850.705652094584</v>
      </c>
      <c r="G13" s="104">
        <f t="shared" si="0"/>
        <v>952.6545836873456</v>
      </c>
      <c r="H13" s="103">
        <f>H14+H15+H19+H20</f>
        <v>1559.370615876113</v>
      </c>
      <c r="I13" s="104">
        <f aca="true" t="shared" si="1" ref="I13:I43">H13/$H$45*1000</f>
        <v>27.58629709477087</v>
      </c>
      <c r="J13" s="104">
        <f>'[4]Д5'!G10*'[4]Д5'!G40/'[4]Д5'!G39</f>
        <v>0</v>
      </c>
      <c r="K13" s="104">
        <f aca="true" t="shared" si="2" ref="K13:K43">J13/$J$45*1000</f>
        <v>0</v>
      </c>
      <c r="L13" s="105">
        <f>F13+H13+J13</f>
        <v>55410.0762679707</v>
      </c>
      <c r="M13" s="105">
        <f aca="true" t="shared" si="3" ref="M13:M42">L13/$L$45*1000</f>
        <v>980.2408807821165</v>
      </c>
    </row>
    <row r="14" spans="4:13" ht="22.5">
      <c r="D14" s="106" t="s">
        <v>13</v>
      </c>
      <c r="E14" s="107" t="s">
        <v>14</v>
      </c>
      <c r="F14" s="108">
        <f>'[4]Д3'!L10</f>
        <v>48122.19605405043</v>
      </c>
      <c r="G14" s="109">
        <f t="shared" si="0"/>
        <v>851.3134617802189</v>
      </c>
      <c r="H14" s="109">
        <v>0</v>
      </c>
      <c r="I14" s="109">
        <f t="shared" si="1"/>
        <v>0</v>
      </c>
      <c r="J14" s="110">
        <v>0</v>
      </c>
      <c r="K14" s="109">
        <f t="shared" si="2"/>
        <v>0</v>
      </c>
      <c r="L14" s="111">
        <f aca="true" t="shared" si="4" ref="L14:L43">F14+H14+J14</f>
        <v>48122.19605405043</v>
      </c>
      <c r="M14" s="111">
        <f t="shared" si="3"/>
        <v>851.3134617802189</v>
      </c>
    </row>
    <row r="15" spans="4:13" ht="21.75" customHeight="1">
      <c r="D15" s="106" t="s">
        <v>15</v>
      </c>
      <c r="E15" s="107" t="s">
        <v>16</v>
      </c>
      <c r="F15" s="112">
        <f>'[4]Д3'!L11</f>
        <v>4938.394361662421</v>
      </c>
      <c r="G15" s="110">
        <f t="shared" si="0"/>
        <v>87.36346103034694</v>
      </c>
      <c r="H15" s="112">
        <f>'[4]Д4'!G12*'[4]Д4'!G54/'[4]Д4'!G53</f>
        <v>25.504922920947692</v>
      </c>
      <c r="I15" s="110">
        <f t="shared" si="1"/>
        <v>0.45119894777624303</v>
      </c>
      <c r="J15" s="110">
        <v>0</v>
      </c>
      <c r="K15" s="110">
        <f t="shared" si="2"/>
        <v>0</v>
      </c>
      <c r="L15" s="111">
        <f t="shared" si="4"/>
        <v>4963.899284583369</v>
      </c>
      <c r="M15" s="111">
        <f t="shared" si="3"/>
        <v>87.81465997812319</v>
      </c>
    </row>
    <row r="16" spans="4:13" ht="45">
      <c r="D16" s="106" t="s">
        <v>17</v>
      </c>
      <c r="E16" s="107" t="s">
        <v>18</v>
      </c>
      <c r="F16" s="110">
        <v>0</v>
      </c>
      <c r="G16" s="110">
        <f t="shared" si="0"/>
        <v>0</v>
      </c>
      <c r="H16" s="110">
        <v>0</v>
      </c>
      <c r="I16" s="110">
        <f t="shared" si="1"/>
        <v>0</v>
      </c>
      <c r="J16" s="110">
        <v>0</v>
      </c>
      <c r="K16" s="110">
        <f t="shared" si="2"/>
        <v>0</v>
      </c>
      <c r="L16" s="111">
        <f t="shared" si="4"/>
        <v>0</v>
      </c>
      <c r="M16" s="111">
        <f t="shared" si="3"/>
        <v>0</v>
      </c>
    </row>
    <row r="17" spans="4:13" ht="32.25" customHeight="1">
      <c r="D17" s="106" t="s">
        <v>19</v>
      </c>
      <c r="E17" s="107" t="s">
        <v>20</v>
      </c>
      <c r="F17" s="109">
        <v>0</v>
      </c>
      <c r="G17" s="109">
        <f t="shared" si="0"/>
        <v>0</v>
      </c>
      <c r="H17" s="109">
        <v>0</v>
      </c>
      <c r="I17" s="109">
        <f t="shared" si="1"/>
        <v>0</v>
      </c>
      <c r="J17" s="109">
        <v>0</v>
      </c>
      <c r="K17" s="109">
        <f t="shared" si="2"/>
        <v>0</v>
      </c>
      <c r="L17" s="113">
        <f t="shared" si="4"/>
        <v>0</v>
      </c>
      <c r="M17" s="113">
        <f t="shared" si="3"/>
        <v>0</v>
      </c>
    </row>
    <row r="18" spans="4:13" ht="67.5">
      <c r="D18" s="106" t="s">
        <v>21</v>
      </c>
      <c r="E18" s="114" t="s">
        <v>22</v>
      </c>
      <c r="F18" s="110">
        <v>0</v>
      </c>
      <c r="G18" s="110">
        <f t="shared" si="0"/>
        <v>0</v>
      </c>
      <c r="H18" s="110">
        <v>0</v>
      </c>
      <c r="I18" s="110">
        <f t="shared" si="1"/>
        <v>0</v>
      </c>
      <c r="J18" s="110">
        <v>0</v>
      </c>
      <c r="K18" s="110">
        <f t="shared" si="2"/>
        <v>0</v>
      </c>
      <c r="L18" s="111">
        <f t="shared" si="4"/>
        <v>0</v>
      </c>
      <c r="M18" s="111">
        <f t="shared" si="3"/>
        <v>0</v>
      </c>
    </row>
    <row r="19" spans="4:13" ht="45.75" customHeight="1">
      <c r="D19" s="106" t="s">
        <v>23</v>
      </c>
      <c r="E19" s="114" t="s">
        <v>24</v>
      </c>
      <c r="F19" s="112">
        <f>'[4]Д3'!L13</f>
        <v>11.211842530681647</v>
      </c>
      <c r="G19" s="110">
        <f t="shared" si="0"/>
        <v>0.1983449065169149</v>
      </c>
      <c r="H19" s="112">
        <f>'[4]Д4'!G14*'[4]Д4'!G54/'[4]Д4'!G53</f>
        <v>106.68582363705954</v>
      </c>
      <c r="I19" s="110">
        <f t="shared" si="1"/>
        <v>1.887342750138156</v>
      </c>
      <c r="J19" s="110">
        <v>0</v>
      </c>
      <c r="K19" s="110">
        <f t="shared" si="2"/>
        <v>0</v>
      </c>
      <c r="L19" s="111">
        <f t="shared" si="4"/>
        <v>117.89766616774119</v>
      </c>
      <c r="M19" s="111">
        <f t="shared" si="3"/>
        <v>2.085687656655071</v>
      </c>
    </row>
    <row r="20" spans="4:13" ht="45">
      <c r="D20" s="106" t="s">
        <v>25</v>
      </c>
      <c r="E20" s="115" t="s">
        <v>26</v>
      </c>
      <c r="F20" s="112">
        <f>'[4]Д3'!L14</f>
        <v>778.9033938510454</v>
      </c>
      <c r="G20" s="110">
        <f t="shared" si="0"/>
        <v>13.7793159702628</v>
      </c>
      <c r="H20" s="112">
        <f>'[4]Д4'!G15*'[4]Д4'!G54/'[4]Д4'!G53</f>
        <v>1427.1798693181058</v>
      </c>
      <c r="I20" s="110">
        <f t="shared" si="1"/>
        <v>25.247755396856473</v>
      </c>
      <c r="J20" s="110">
        <v>0</v>
      </c>
      <c r="K20" s="110">
        <f t="shared" si="2"/>
        <v>0</v>
      </c>
      <c r="L20" s="111">
        <f t="shared" si="4"/>
        <v>2206.083263169151</v>
      </c>
      <c r="M20" s="111">
        <f t="shared" si="3"/>
        <v>39.02707136711927</v>
      </c>
    </row>
    <row r="21" spans="4:13" ht="43.5">
      <c r="D21" s="94" t="s">
        <v>27</v>
      </c>
      <c r="E21" s="116" t="s">
        <v>28</v>
      </c>
      <c r="F21" s="99">
        <f>'[4]Д3'!L15+'[4]Д3'!L17</f>
        <v>7465.015889939533</v>
      </c>
      <c r="G21" s="101">
        <f t="shared" si="0"/>
        <v>132.0610662150748</v>
      </c>
      <c r="H21" s="101">
        <f>('[4]Д4'!G16+'[4]Д4'!G18)*'[4]Д4'!G54/'[4]Д4'!G53</f>
        <v>2053.977724028651</v>
      </c>
      <c r="I21" s="101">
        <f t="shared" si="1"/>
        <v>36.336223822751094</v>
      </c>
      <c r="J21" s="101">
        <f>('[4]Д5'!G11+'[4]Д5'!G13)*'[4]Д5'!G40/'[4]Д5'!G39</f>
        <v>62.38378295181211</v>
      </c>
      <c r="K21" s="101">
        <f t="shared" si="2"/>
        <v>1.1036103623367968</v>
      </c>
      <c r="L21" s="102">
        <f t="shared" si="4"/>
        <v>9581.377396919997</v>
      </c>
      <c r="M21" s="102">
        <f t="shared" si="3"/>
        <v>169.50090040016272</v>
      </c>
    </row>
    <row r="22" spans="4:13" ht="21.75">
      <c r="D22" s="94" t="s">
        <v>29</v>
      </c>
      <c r="E22" s="117" t="s">
        <v>30</v>
      </c>
      <c r="F22" s="99">
        <f>'[4]Д3'!L16-'[4]Д3'!L17</f>
        <v>631.7489672944548</v>
      </c>
      <c r="G22" s="104">
        <f t="shared" si="0"/>
        <v>11.176056880684538</v>
      </c>
      <c r="H22" s="101">
        <f>('[4]Д4'!G17-'[4]Д4'!G18)*'[4]Д4'!G54/'[4]Д4'!G53</f>
        <v>600.7581660386887</v>
      </c>
      <c r="I22" s="104">
        <f t="shared" si="1"/>
        <v>10.627809118451161</v>
      </c>
      <c r="J22" s="101">
        <f>('[4]Д5'!G14+'[4]Д5'!G15)*'[4]Д5'!G40/'[4]Д5'!G39</f>
        <v>0.029065956457157413</v>
      </c>
      <c r="K22" s="104">
        <f t="shared" si="2"/>
        <v>0.0005141959852310826</v>
      </c>
      <c r="L22" s="102">
        <f t="shared" si="4"/>
        <v>1232.5361992896005</v>
      </c>
      <c r="M22" s="102">
        <f t="shared" si="3"/>
        <v>21.804380195120924</v>
      </c>
    </row>
    <row r="23" spans="4:13" ht="22.5">
      <c r="D23" s="106" t="s">
        <v>31</v>
      </c>
      <c r="E23" s="114" t="s">
        <v>32</v>
      </c>
      <c r="F23" s="108">
        <f>'[4]Д3'!L18</f>
        <v>231.23672561109322</v>
      </c>
      <c r="G23" s="109">
        <f t="shared" si="0"/>
        <v>4.090730546660768</v>
      </c>
      <c r="H23" s="109">
        <f>'[4]Д4'!G19*'[4]Д4'!G54/'[4]Д4'!G53</f>
        <v>370.59570408157714</v>
      </c>
      <c r="I23" s="109">
        <f t="shared" si="1"/>
        <v>6.556083006025035</v>
      </c>
      <c r="J23" s="109">
        <v>0</v>
      </c>
      <c r="K23" s="109">
        <f t="shared" si="2"/>
        <v>0</v>
      </c>
      <c r="L23" s="111">
        <f t="shared" si="4"/>
        <v>601.8324296926703</v>
      </c>
      <c r="M23" s="111">
        <f t="shared" si="3"/>
        <v>10.646813552685801</v>
      </c>
    </row>
    <row r="24" spans="4:13" ht="22.5">
      <c r="D24" s="106" t="s">
        <v>33</v>
      </c>
      <c r="E24" s="114" t="s">
        <v>34</v>
      </c>
      <c r="F24" s="108">
        <f>F22-F23</f>
        <v>400.5122416833616</v>
      </c>
      <c r="G24" s="109">
        <f t="shared" si="0"/>
        <v>7.085326334023769</v>
      </c>
      <c r="H24" s="109">
        <f>H22-H23</f>
        <v>230.1624619571116</v>
      </c>
      <c r="I24" s="109">
        <f t="shared" si="1"/>
        <v>4.071726112426125</v>
      </c>
      <c r="J24" s="109">
        <v>0</v>
      </c>
      <c r="K24" s="109">
        <f t="shared" si="2"/>
        <v>0</v>
      </c>
      <c r="L24" s="111">
        <f t="shared" si="4"/>
        <v>630.6747036404731</v>
      </c>
      <c r="M24" s="111">
        <f t="shared" si="3"/>
        <v>11.157052446449894</v>
      </c>
    </row>
    <row r="25" spans="4:13" ht="23.25" customHeight="1">
      <c r="D25" s="94" t="s">
        <v>35</v>
      </c>
      <c r="E25" s="116" t="s">
        <v>36</v>
      </c>
      <c r="F25" s="99">
        <f>'[4]Д3'!L20</f>
        <v>135.78677616739202</v>
      </c>
      <c r="G25" s="101">
        <f t="shared" si="0"/>
        <v>2.4021578390396097</v>
      </c>
      <c r="H25" s="101">
        <f>'[4]Д4'!G21*'[4]Д4'!G54/'[4]Д4'!G53</f>
        <v>8.435671151737347</v>
      </c>
      <c r="I25" s="101">
        <f t="shared" si="1"/>
        <v>0.14923259949647685</v>
      </c>
      <c r="J25" s="101">
        <f>'[4]Д5'!G16*'[4]Д5'!G40/'[4]Д5'!G39</f>
        <v>0.12493232117603736</v>
      </c>
      <c r="K25" s="101">
        <f t="shared" si="2"/>
        <v>0.002210135354362293</v>
      </c>
      <c r="L25" s="102">
        <f t="shared" si="4"/>
        <v>144.3473796403054</v>
      </c>
      <c r="M25" s="102">
        <f t="shared" si="3"/>
        <v>2.5536005738904493</v>
      </c>
    </row>
    <row r="26" spans="4:13" ht="52.5" customHeight="1">
      <c r="D26" s="106" t="s">
        <v>37</v>
      </c>
      <c r="E26" s="114" t="s">
        <v>38</v>
      </c>
      <c r="F26" s="112">
        <f>('[4]Д3'!L21+'[4]Д3'!L22)</f>
        <v>69.9022056318374</v>
      </c>
      <c r="G26" s="110">
        <f t="shared" si="0"/>
        <v>1.2366162299757177</v>
      </c>
      <c r="H26" s="110">
        <f>('[4]Д4'!G22+'[4]Д4'!G23)*'[4]Д4'!G54/'[4]Д4'!G53</f>
        <v>4.3426308264201054</v>
      </c>
      <c r="I26" s="110">
        <f t="shared" si="1"/>
        <v>0.07682401023263406</v>
      </c>
      <c r="J26" s="110">
        <f>('[4]Д5'!G17+'[4]Д5'!G18)*'[4]Д5'!G40/'[4]Д5'!G39</f>
        <v>0.0643163530042464</v>
      </c>
      <c r="K26" s="110">
        <f t="shared" si="2"/>
        <v>0.0011377988041864314</v>
      </c>
      <c r="L26" s="111">
        <f t="shared" si="4"/>
        <v>74.30915281126175</v>
      </c>
      <c r="M26" s="111">
        <f t="shared" si="3"/>
        <v>1.3145780390125383</v>
      </c>
    </row>
    <row r="27" spans="4:13" ht="22.5">
      <c r="D27" s="106" t="s">
        <v>39</v>
      </c>
      <c r="E27" s="114" t="s">
        <v>32</v>
      </c>
      <c r="F27" s="109">
        <f>'[2]9 (3)'!$V$12*'[4]Д3'!L43/'[4]Д3'!H43</f>
        <v>18.61912566585393</v>
      </c>
      <c r="G27" s="109">
        <f t="shared" si="0"/>
        <v>0.32938464213303253</v>
      </c>
      <c r="H27" s="109">
        <f>'[2]9 (3)'!$W$12*'[4]Д4'!G54/'[4]Д4'!G53</f>
        <v>1.1530547482178868</v>
      </c>
      <c r="I27" s="109">
        <f t="shared" si="1"/>
        <v>0.020398300780474582</v>
      </c>
      <c r="J27" s="109">
        <f>('[2]9 (3)'!$X$12*'[4]Д5'!G40/'[4]Д5'!G39)</f>
        <v>0.015477244942523189</v>
      </c>
      <c r="K27" s="109">
        <f t="shared" si="2"/>
        <v>0.00027380269503994885</v>
      </c>
      <c r="L27" s="111">
        <f t="shared" si="4"/>
        <v>19.78765765901434</v>
      </c>
      <c r="M27" s="111">
        <f t="shared" si="3"/>
        <v>0.35005674560854705</v>
      </c>
    </row>
    <row r="28" spans="4:13" ht="22.5">
      <c r="D28" s="106" t="s">
        <v>40</v>
      </c>
      <c r="E28" s="114" t="s">
        <v>41</v>
      </c>
      <c r="F28" s="108">
        <f>F25-F26-F27</f>
        <v>47.26544486970069</v>
      </c>
      <c r="G28" s="109">
        <f t="shared" si="0"/>
        <v>0.8361569669308594</v>
      </c>
      <c r="H28" s="109">
        <f>H25-H26-H27</f>
        <v>2.939985577099355</v>
      </c>
      <c r="I28" s="109">
        <f t="shared" si="1"/>
        <v>0.052010288483368215</v>
      </c>
      <c r="J28" s="109">
        <f>J25-J26-J27</f>
        <v>0.04513872322926778</v>
      </c>
      <c r="K28" s="109">
        <f t="shared" si="2"/>
        <v>0.0007985338551359134</v>
      </c>
      <c r="L28" s="111">
        <f t="shared" si="4"/>
        <v>50.25056917002931</v>
      </c>
      <c r="M28" s="111">
        <f t="shared" si="3"/>
        <v>0.8889657892693634</v>
      </c>
    </row>
    <row r="29" spans="4:13" ht="21.75">
      <c r="D29" s="94" t="s">
        <v>42</v>
      </c>
      <c r="E29" s="116" t="s">
        <v>43</v>
      </c>
      <c r="F29" s="103">
        <f>'[4]Д3'!L24</f>
        <v>1301.0686484919634</v>
      </c>
      <c r="G29" s="104">
        <f t="shared" si="0"/>
        <v>23.016764528313256</v>
      </c>
      <c r="H29" s="104">
        <f>'[4]Д4'!G25*'[4]Д4'!G54/'[4]Д4'!G53</f>
        <v>80.82807765879531</v>
      </c>
      <c r="I29" s="104">
        <f t="shared" si="1"/>
        <v>1.4299021292266583</v>
      </c>
      <c r="J29" s="104">
        <f>'[4]Д5'!G20*'[4]Д5'!G40/'[4]Д5'!G39</f>
        <v>1.1971029873243044</v>
      </c>
      <c r="K29" s="104">
        <f t="shared" si="2"/>
        <v>0.02117754325055822</v>
      </c>
      <c r="L29" s="105">
        <f t="shared" si="4"/>
        <v>1383.093829138083</v>
      </c>
      <c r="M29" s="105">
        <f t="shared" si="3"/>
        <v>24.467844200790474</v>
      </c>
    </row>
    <row r="30" spans="4:13" ht="45">
      <c r="D30" s="106" t="s">
        <v>44</v>
      </c>
      <c r="E30" s="114" t="s">
        <v>38</v>
      </c>
      <c r="F30" s="112">
        <f>'[4]Д3'!L25+'[4]Д3'!L26</f>
        <v>1222.8134226423315</v>
      </c>
      <c r="G30" s="110">
        <f t="shared" si="0"/>
        <v>21.632377848503044</v>
      </c>
      <c r="H30" s="110">
        <f>('[4]Д4'!G26+'[4]Д4'!G27)*'[4]Д4'!G54/'[4]Д4'!G53</f>
        <v>75.96651950188793</v>
      </c>
      <c r="I30" s="110">
        <f t="shared" si="1"/>
        <v>1.3438979514548435</v>
      </c>
      <c r="J30" s="110">
        <f>('[4]Д5'!G21+'[4]Д5'!G22)*'[4]Д5'!G40/'[4]Д5'!G39</f>
        <v>1.1250989044328876</v>
      </c>
      <c r="K30" s="110">
        <f t="shared" si="2"/>
        <v>0.019903743422309474</v>
      </c>
      <c r="L30" s="111">
        <f t="shared" si="4"/>
        <v>1299.9050410486523</v>
      </c>
      <c r="M30" s="111">
        <f t="shared" si="3"/>
        <v>22.996179543380194</v>
      </c>
    </row>
    <row r="31" spans="4:13" ht="22.5">
      <c r="D31" s="106" t="s">
        <v>45</v>
      </c>
      <c r="E31" s="114" t="s">
        <v>32</v>
      </c>
      <c r="F31" s="108">
        <f>'[3]10 (3)'!$W$17*'[4]Д3'!L43/'[4]Д3'!H43</f>
        <v>3.8946553544146805</v>
      </c>
      <c r="G31" s="109">
        <f t="shared" si="0"/>
        <v>0.06889902797627116</v>
      </c>
      <c r="H31" s="109">
        <f>'[3]10 (3)'!$X$17*'[4]Д4'!G54/'[4]Д4'!G53</f>
        <v>0.24192429834297596</v>
      </c>
      <c r="I31" s="109">
        <f t="shared" si="1"/>
        <v>0.004279800773842163</v>
      </c>
      <c r="J31" s="109">
        <f>'[3]10 (3)'!$Y$17*'[4]Д5'!G40/'[4]Д5'!G39</f>
        <v>0.0035833693669702097</v>
      </c>
      <c r="K31" s="109">
        <f t="shared" si="2"/>
        <v>6.339217306721054E-05</v>
      </c>
      <c r="L31" s="111">
        <f t="shared" si="4"/>
        <v>4.140163022124626</v>
      </c>
      <c r="M31" s="111">
        <f t="shared" si="3"/>
        <v>0.07324222092318053</v>
      </c>
    </row>
    <row r="32" spans="4:13" ht="22.5">
      <c r="D32" s="106" t="s">
        <v>46</v>
      </c>
      <c r="E32" s="114" t="s">
        <v>41</v>
      </c>
      <c r="F32" s="108">
        <f>F29-F30-F31</f>
        <v>74.36057049521719</v>
      </c>
      <c r="G32" s="109">
        <f t="shared" si="0"/>
        <v>1.3154876518339411</v>
      </c>
      <c r="H32" s="109">
        <f>H29-H30-H31</f>
        <v>4.619633858564402</v>
      </c>
      <c r="I32" s="109">
        <f t="shared" si="1"/>
        <v>0.08172437699797268</v>
      </c>
      <c r="J32" s="109">
        <f>J29-J30-J31</f>
        <v>0.06842071352444659</v>
      </c>
      <c r="K32" s="109">
        <f t="shared" si="2"/>
        <v>0.0012104076551815344</v>
      </c>
      <c r="L32" s="111">
        <f t="shared" si="4"/>
        <v>79.04862506730603</v>
      </c>
      <c r="M32" s="111">
        <f t="shared" si="3"/>
        <v>1.3984224364870952</v>
      </c>
    </row>
    <row r="33" spans="4:13" ht="21.75">
      <c r="D33" s="94">
        <v>3</v>
      </c>
      <c r="E33" s="116" t="s">
        <v>47</v>
      </c>
      <c r="F33" s="104">
        <v>0</v>
      </c>
      <c r="G33" s="104">
        <f t="shared" si="0"/>
        <v>0</v>
      </c>
      <c r="H33" s="104">
        <v>0</v>
      </c>
      <c r="I33" s="104">
        <f t="shared" si="1"/>
        <v>0</v>
      </c>
      <c r="J33" s="104">
        <v>0</v>
      </c>
      <c r="K33" s="104">
        <f t="shared" si="2"/>
        <v>0</v>
      </c>
      <c r="L33" s="102">
        <f t="shared" si="4"/>
        <v>0</v>
      </c>
      <c r="M33" s="102">
        <f t="shared" si="3"/>
        <v>0</v>
      </c>
    </row>
    <row r="34" spans="4:13" ht="21.75">
      <c r="D34" s="94">
        <v>4</v>
      </c>
      <c r="E34" s="116" t="s">
        <v>48</v>
      </c>
      <c r="F34" s="104">
        <v>0</v>
      </c>
      <c r="G34" s="104">
        <f t="shared" si="0"/>
        <v>0</v>
      </c>
      <c r="H34" s="104">
        <v>0</v>
      </c>
      <c r="I34" s="104">
        <f t="shared" si="1"/>
        <v>0</v>
      </c>
      <c r="J34" s="104">
        <v>0</v>
      </c>
      <c r="K34" s="104">
        <f t="shared" si="2"/>
        <v>0</v>
      </c>
      <c r="L34" s="102">
        <f t="shared" si="4"/>
        <v>0</v>
      </c>
      <c r="M34" s="102">
        <f t="shared" si="3"/>
        <v>0</v>
      </c>
    </row>
    <row r="35" spans="4:13" ht="21.75">
      <c r="D35" s="94">
        <v>5</v>
      </c>
      <c r="E35" s="116" t="s">
        <v>49</v>
      </c>
      <c r="F35" s="104">
        <v>0</v>
      </c>
      <c r="G35" s="104">
        <f t="shared" si="0"/>
        <v>0</v>
      </c>
      <c r="H35" s="104">
        <v>0</v>
      </c>
      <c r="I35" s="104">
        <f t="shared" si="1"/>
        <v>0</v>
      </c>
      <c r="J35" s="104">
        <v>0</v>
      </c>
      <c r="K35" s="104">
        <f t="shared" si="2"/>
        <v>0</v>
      </c>
      <c r="L35" s="102">
        <f t="shared" si="4"/>
        <v>0</v>
      </c>
      <c r="M35" s="102">
        <f t="shared" si="3"/>
        <v>0</v>
      </c>
    </row>
    <row r="36" spans="4:13" ht="21.75">
      <c r="D36" s="94">
        <v>6</v>
      </c>
      <c r="E36" s="116" t="s">
        <v>50</v>
      </c>
      <c r="F36" s="103">
        <f>F12+F29</f>
        <v>63384.32593398793</v>
      </c>
      <c r="G36" s="118">
        <f>G12+G29</f>
        <v>1121.3106291504578</v>
      </c>
      <c r="H36" s="103">
        <f>H12+H29</f>
        <v>4303.370254753986</v>
      </c>
      <c r="I36" s="104">
        <f t="shared" si="1"/>
        <v>76.12946476469627</v>
      </c>
      <c r="J36" s="103">
        <f>J12+J29</f>
        <v>63.734884216769615</v>
      </c>
      <c r="K36" s="104">
        <f t="shared" si="2"/>
        <v>1.1275122369269486</v>
      </c>
      <c r="L36" s="102">
        <f t="shared" si="4"/>
        <v>67751.43107295869</v>
      </c>
      <c r="M36" s="102">
        <f t="shared" si="3"/>
        <v>1198.5676061520812</v>
      </c>
    </row>
    <row r="37" spans="4:13" ht="21.75">
      <c r="D37" s="94">
        <v>7</v>
      </c>
      <c r="E37" s="116" t="s">
        <v>51</v>
      </c>
      <c r="F37" s="104">
        <v>0</v>
      </c>
      <c r="G37" s="104">
        <f>F37/$F$45*1000</f>
        <v>0</v>
      </c>
      <c r="H37" s="104">
        <v>0</v>
      </c>
      <c r="I37" s="104">
        <f t="shared" si="1"/>
        <v>0</v>
      </c>
      <c r="J37" s="104">
        <v>0</v>
      </c>
      <c r="K37" s="104">
        <f t="shared" si="2"/>
        <v>0</v>
      </c>
      <c r="L37" s="102">
        <f t="shared" si="4"/>
        <v>0</v>
      </c>
      <c r="M37" s="102">
        <f t="shared" si="3"/>
        <v>0</v>
      </c>
    </row>
    <row r="38" spans="4:13" ht="21.75">
      <c r="D38" s="119">
        <v>8</v>
      </c>
      <c r="E38" s="98" t="s">
        <v>52</v>
      </c>
      <c r="F38" s="103">
        <f>SUM(F39:F42)</f>
        <v>1052.8649134260538</v>
      </c>
      <c r="G38" s="118">
        <v>18.62</v>
      </c>
      <c r="H38" s="120">
        <f>'[4]Д4'!G36*'[4]Д4'!G54/'[4]Д4'!G53</f>
        <v>65.40712014680399</v>
      </c>
      <c r="I38" s="118">
        <f t="shared" si="1"/>
        <v>1.157095196044439</v>
      </c>
      <c r="J38" s="118">
        <f>'[4]Д5'!G31*'[4]Д5'!G40/'[4]Д5'!G39</f>
        <v>0.9687093834094571</v>
      </c>
      <c r="K38" s="118">
        <v>0.01</v>
      </c>
      <c r="L38" s="121">
        <f t="shared" si="4"/>
        <v>1119.2407429562672</v>
      </c>
      <c r="M38" s="121">
        <f t="shared" si="3"/>
        <v>19.800108672957474</v>
      </c>
    </row>
    <row r="39" spans="4:13" ht="22.5">
      <c r="D39" s="106" t="s">
        <v>53</v>
      </c>
      <c r="E39" s="114" t="s">
        <v>54</v>
      </c>
      <c r="F39" s="108">
        <f>'[4]Д3'!L36</f>
        <v>189.51568441668965</v>
      </c>
      <c r="G39" s="122">
        <f>F39/$F$45*1000</f>
        <v>3.3526577461512135</v>
      </c>
      <c r="H39" s="123">
        <f>'[4]Д4'!G37*'[4]Д4'!G54/'[4]Д4'!G53</f>
        <v>11.773281626424717</v>
      </c>
      <c r="I39" s="122">
        <f t="shared" si="1"/>
        <v>0.20827713528799896</v>
      </c>
      <c r="J39" s="122">
        <f>'[4]Д5'!G32*'[4]Д5'!G40/'[4]Д5'!G39</f>
        <v>0.17436768901370223</v>
      </c>
      <c r="K39" s="122">
        <f t="shared" si="2"/>
        <v>0.003084679693132525</v>
      </c>
      <c r="L39" s="124">
        <f t="shared" si="4"/>
        <v>201.46333373212806</v>
      </c>
      <c r="M39" s="124">
        <f t="shared" si="3"/>
        <v>3.564019561132345</v>
      </c>
    </row>
    <row r="40" spans="4:13" ht="27.75" customHeight="1">
      <c r="D40" s="125" t="s">
        <v>55</v>
      </c>
      <c r="E40" s="114" t="s">
        <v>56</v>
      </c>
      <c r="F40" s="109">
        <v>0</v>
      </c>
      <c r="G40" s="122">
        <f>F40/$F$45*1000</f>
        <v>0</v>
      </c>
      <c r="H40" s="122">
        <v>0</v>
      </c>
      <c r="I40" s="122">
        <f t="shared" si="1"/>
        <v>0</v>
      </c>
      <c r="J40" s="122">
        <v>0</v>
      </c>
      <c r="K40" s="122">
        <f t="shared" si="2"/>
        <v>0</v>
      </c>
      <c r="L40" s="126">
        <f t="shared" si="4"/>
        <v>0</v>
      </c>
      <c r="M40" s="126">
        <f t="shared" si="3"/>
        <v>0</v>
      </c>
    </row>
    <row r="41" spans="4:13" ht="47.25" customHeight="1">
      <c r="D41" s="106" t="s">
        <v>57</v>
      </c>
      <c r="E41" s="114" t="s">
        <v>58</v>
      </c>
      <c r="F41" s="112">
        <f>'[4]Д3'!L39</f>
        <v>863.3492290093641</v>
      </c>
      <c r="G41" s="123">
        <f>F41/$F$45*1000</f>
        <v>15.27321862135553</v>
      </c>
      <c r="H41" s="123">
        <f>'[4]Д4'!G40*'[4]Д4'!G54/'[4]Д4'!G53</f>
        <v>53.633838520379264</v>
      </c>
      <c r="I41" s="123">
        <f t="shared" si="1"/>
        <v>0.9488180607564396</v>
      </c>
      <c r="J41" s="123">
        <f>'[4]Д5'!G35*'[4]Д5'!G40/'[4]Д5'!G39</f>
        <v>0.7943416943957547</v>
      </c>
      <c r="K41" s="123">
        <f t="shared" si="2"/>
        <v>0.014052429713159282</v>
      </c>
      <c r="L41" s="124">
        <f t="shared" si="4"/>
        <v>917.7774092241391</v>
      </c>
      <c r="M41" s="124">
        <v>16.23</v>
      </c>
    </row>
    <row r="42" spans="4:13" ht="45">
      <c r="D42" s="106" t="s">
        <v>59</v>
      </c>
      <c r="E42" s="114" t="s">
        <v>60</v>
      </c>
      <c r="F42" s="109">
        <v>0</v>
      </c>
      <c r="G42" s="109">
        <f>F42/$F$45*1000</f>
        <v>0</v>
      </c>
      <c r="H42" s="109">
        <v>0</v>
      </c>
      <c r="I42" s="109">
        <f t="shared" si="1"/>
        <v>0</v>
      </c>
      <c r="J42" s="109">
        <v>0</v>
      </c>
      <c r="K42" s="109">
        <f t="shared" si="2"/>
        <v>0</v>
      </c>
      <c r="L42" s="113">
        <f t="shared" si="4"/>
        <v>0</v>
      </c>
      <c r="M42" s="113">
        <f t="shared" si="3"/>
        <v>0</v>
      </c>
    </row>
    <row r="43" spans="4:13" ht="43.5">
      <c r="D43" s="94">
        <v>9</v>
      </c>
      <c r="E43" s="116" t="s">
        <v>61</v>
      </c>
      <c r="F43" s="99">
        <f>F36+F37+F38</f>
        <v>64437.190847413985</v>
      </c>
      <c r="G43" s="99">
        <f>G36+G37+G38</f>
        <v>1139.9306291504577</v>
      </c>
      <c r="H43" s="99">
        <f>H36+H37+H38</f>
        <v>4368.77737490079</v>
      </c>
      <c r="I43" s="101">
        <f t="shared" si="1"/>
        <v>77.28655996074072</v>
      </c>
      <c r="J43" s="99">
        <f>J36+J37+J38</f>
        <v>64.70359360017908</v>
      </c>
      <c r="K43" s="101">
        <f t="shared" si="2"/>
        <v>1.1446493463332403</v>
      </c>
      <c r="L43" s="102">
        <f t="shared" si="4"/>
        <v>68870.67181591496</v>
      </c>
      <c r="M43" s="102">
        <f>G43+I43+K43</f>
        <v>1218.3618384575316</v>
      </c>
    </row>
    <row r="44" spans="4:13" ht="26.25" customHeight="1">
      <c r="D44" s="94">
        <v>10</v>
      </c>
      <c r="E44" s="116" t="s">
        <v>62</v>
      </c>
      <c r="F44" s="119"/>
      <c r="G44" s="104">
        <f>G43</f>
        <v>1139.9306291504577</v>
      </c>
      <c r="H44" s="116"/>
      <c r="I44" s="104">
        <f>I43</f>
        <v>77.28655996074072</v>
      </c>
      <c r="J44" s="116"/>
      <c r="K44" s="127">
        <f>K43</f>
        <v>1.1446493463332403</v>
      </c>
      <c r="L44" s="102"/>
      <c r="M44" s="102">
        <f>M43</f>
        <v>1218.3618384575316</v>
      </c>
    </row>
    <row r="45" spans="4:13" ht="43.5">
      <c r="D45" s="94">
        <v>11</v>
      </c>
      <c r="E45" s="116" t="s">
        <v>63</v>
      </c>
      <c r="F45" s="94">
        <f>'[4]Д3'!L43</f>
        <v>56527</v>
      </c>
      <c r="G45" s="117"/>
      <c r="H45" s="94">
        <f>F45</f>
        <v>56527</v>
      </c>
      <c r="I45" s="117"/>
      <c r="J45" s="94">
        <f>H45</f>
        <v>56527</v>
      </c>
      <c r="K45" s="117"/>
      <c r="L45" s="128">
        <f>J45</f>
        <v>56527</v>
      </c>
      <c r="M45" s="102"/>
    </row>
    <row r="46" spans="4:13" ht="21.75">
      <c r="D46" s="119">
        <v>12</v>
      </c>
      <c r="E46" s="98" t="s">
        <v>64</v>
      </c>
      <c r="F46" s="119"/>
      <c r="G46" s="129">
        <f>G38/G36*100</f>
        <v>1.6605568087860838</v>
      </c>
      <c r="H46" s="98"/>
      <c r="I46" s="129">
        <f>I38/I36*100</f>
        <v>1.519904546315715</v>
      </c>
      <c r="J46" s="98"/>
      <c r="K46" s="129">
        <f>K38/K36*100</f>
        <v>0.8869083343392484</v>
      </c>
      <c r="L46" s="104"/>
      <c r="M46" s="104">
        <v>1.4036897514069133</v>
      </c>
    </row>
    <row r="47" spans="4:13" ht="21.75">
      <c r="D47" s="219"/>
      <c r="E47" s="219"/>
      <c r="F47" s="219"/>
      <c r="G47" s="219"/>
      <c r="H47" s="219"/>
      <c r="I47" s="219"/>
      <c r="J47" s="219"/>
      <c r="K47" s="219"/>
      <c r="L47" s="219"/>
      <c r="M47" s="130"/>
    </row>
    <row r="48" spans="4:13" ht="22.5">
      <c r="D48" s="91"/>
      <c r="E48" s="131" t="s">
        <v>140</v>
      </c>
      <c r="F48" s="131"/>
      <c r="G48" s="131"/>
      <c r="H48" s="131"/>
      <c r="I48" s="131"/>
      <c r="J48" s="131"/>
      <c r="K48" s="131" t="s">
        <v>141</v>
      </c>
      <c r="L48" s="131"/>
      <c r="M48" s="91"/>
    </row>
    <row r="49" spans="4:13" ht="22.5">
      <c r="D49" s="91"/>
      <c r="E49" s="131"/>
      <c r="F49" s="131"/>
      <c r="G49" s="131"/>
      <c r="H49" s="131"/>
      <c r="I49" s="131"/>
      <c r="J49" s="131"/>
      <c r="K49" s="131"/>
      <c r="L49" s="131"/>
      <c r="M49" s="91"/>
    </row>
    <row r="50" spans="4:13" ht="22.5">
      <c r="D50" s="91"/>
      <c r="E50" s="131" t="s">
        <v>142</v>
      </c>
      <c r="F50" s="131"/>
      <c r="G50" s="131"/>
      <c r="H50" s="131"/>
      <c r="I50" s="131"/>
      <c r="J50" s="131"/>
      <c r="K50" s="131" t="s">
        <v>143</v>
      </c>
      <c r="L50" s="131"/>
      <c r="M50" s="91"/>
    </row>
  </sheetData>
  <sheetProtection/>
  <mergeCells count="10">
    <mergeCell ref="D5:M5"/>
    <mergeCell ref="D47:L47"/>
    <mergeCell ref="D6:M6"/>
    <mergeCell ref="D7:M7"/>
    <mergeCell ref="D9:D10"/>
    <mergeCell ref="E9:E10"/>
    <mergeCell ref="F9:G9"/>
    <mergeCell ref="H9:I9"/>
    <mergeCell ref="J9:K9"/>
    <mergeCell ref="L9:M9"/>
  </mergeCells>
  <conditionalFormatting sqref="L9:L41 M9:M40 L12:M44">
    <cfRule type="containsText" priority="3" dxfId="0" operator="containsText" stopIfTrue="1" text="Додаток2">
      <formula>NOT(ISERROR(SEARCH("Додаток2",L9)))</formula>
    </cfRule>
    <cfRule type="containsText" priority="4" dxfId="0" operator="containsText" stopIfTrue="1" text="Додаток2">
      <formula>NOT(ISERROR(SEARCH("Додаток2",L9)))</formula>
    </cfRule>
  </conditionalFormatting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K41"/>
  <sheetViews>
    <sheetView zoomScale="68" zoomScaleNormal="68" zoomScalePageLayoutView="0" workbookViewId="0" topLeftCell="A1">
      <selection activeCell="E2" sqref="E2"/>
    </sheetView>
  </sheetViews>
  <sheetFormatPr defaultColWidth="9.140625" defaultRowHeight="12.75"/>
  <cols>
    <col min="5" max="5" width="73.57421875" style="0" customWidth="1"/>
    <col min="6" max="6" width="24.140625" style="0" customWidth="1"/>
    <col min="7" max="7" width="23.421875" style="0" customWidth="1"/>
    <col min="8" max="8" width="25.28125" style="0" customWidth="1"/>
    <col min="9" max="9" width="20.57421875" style="0" customWidth="1"/>
  </cols>
  <sheetData>
    <row r="1" spans="4:9" ht="24.75" customHeight="1">
      <c r="D1" s="148"/>
      <c r="E1" s="149"/>
      <c r="F1" s="150"/>
      <c r="G1" s="264" t="s">
        <v>149</v>
      </c>
      <c r="H1" s="265"/>
      <c r="I1" s="265"/>
    </row>
    <row r="2" spans="4:9" ht="29.25" customHeight="1">
      <c r="D2" s="148"/>
      <c r="E2" s="149"/>
      <c r="F2" s="150"/>
      <c r="G2" s="266" t="s">
        <v>153</v>
      </c>
      <c r="H2" s="266"/>
      <c r="I2" s="266"/>
    </row>
    <row r="3" spans="4:9" ht="29.25" customHeight="1">
      <c r="D3" s="148"/>
      <c r="E3" s="149"/>
      <c r="F3" s="150"/>
      <c r="G3" s="179"/>
      <c r="H3" s="179"/>
      <c r="I3" s="179"/>
    </row>
    <row r="4" spans="4:9" ht="54.75" customHeight="1">
      <c r="D4" s="148"/>
      <c r="E4" s="224" t="s">
        <v>69</v>
      </c>
      <c r="F4" s="224"/>
      <c r="G4" s="224"/>
      <c r="H4" s="224"/>
      <c r="I4" s="224"/>
    </row>
    <row r="5" spans="4:9" ht="19.5" customHeight="1">
      <c r="D5" s="151"/>
      <c r="E5" s="225" t="str">
        <f>'[4]Д10'!B3</f>
        <v>КП Прилукитепловодопостачання</v>
      </c>
      <c r="F5" s="225"/>
      <c r="G5" s="225"/>
      <c r="H5" s="225"/>
      <c r="I5" s="225"/>
    </row>
    <row r="6" spans="4:9" ht="19.5" customHeight="1">
      <c r="D6" s="151"/>
      <c r="E6" s="152"/>
      <c r="F6" s="152"/>
      <c r="G6" s="152"/>
      <c r="H6" s="152"/>
      <c r="I6" s="152"/>
    </row>
    <row r="7" spans="4:9" ht="19.5" customHeight="1" thickBot="1">
      <c r="D7" s="151"/>
      <c r="E7" s="151"/>
      <c r="F7" s="151"/>
      <c r="G7" s="151"/>
      <c r="H7" s="151"/>
      <c r="I7" s="151"/>
    </row>
    <row r="8" spans="4:9" ht="54.75" customHeight="1">
      <c r="D8" s="226" t="s">
        <v>70</v>
      </c>
      <c r="E8" s="229" t="s">
        <v>71</v>
      </c>
      <c r="F8" s="232" t="s">
        <v>72</v>
      </c>
      <c r="G8" s="233"/>
      <c r="H8" s="233" t="s">
        <v>73</v>
      </c>
      <c r="I8" s="234"/>
    </row>
    <row r="9" spans="4:9" ht="183.75" customHeight="1">
      <c r="D9" s="227"/>
      <c r="E9" s="230"/>
      <c r="F9" s="235" t="s">
        <v>74</v>
      </c>
      <c r="G9" s="154" t="s">
        <v>75</v>
      </c>
      <c r="H9" s="154" t="s">
        <v>145</v>
      </c>
      <c r="I9" s="155" t="s">
        <v>146</v>
      </c>
    </row>
    <row r="10" spans="4:9" ht="23.25" hidden="1">
      <c r="D10" s="227"/>
      <c r="E10" s="230"/>
      <c r="F10" s="235"/>
      <c r="G10" s="154"/>
      <c r="H10" s="154"/>
      <c r="I10" s="155"/>
    </row>
    <row r="11" spans="4:9" ht="23.25" hidden="1">
      <c r="D11" s="227"/>
      <c r="E11" s="230"/>
      <c r="F11" s="235"/>
      <c r="G11" s="154"/>
      <c r="H11" s="154"/>
      <c r="I11" s="155"/>
    </row>
    <row r="12" spans="4:9" ht="27.75">
      <c r="D12" s="228"/>
      <c r="E12" s="231"/>
      <c r="F12" s="153" t="s">
        <v>9</v>
      </c>
      <c r="G12" s="154" t="s">
        <v>147</v>
      </c>
      <c r="H12" s="154" t="s">
        <v>148</v>
      </c>
      <c r="I12" s="155" t="s">
        <v>148</v>
      </c>
    </row>
    <row r="13" spans="4:9" ht="23.25">
      <c r="D13" s="156">
        <v>1</v>
      </c>
      <c r="E13" s="157">
        <v>2</v>
      </c>
      <c r="F13" s="158">
        <v>3</v>
      </c>
      <c r="G13" s="159">
        <v>4</v>
      </c>
      <c r="H13" s="159">
        <v>5</v>
      </c>
      <c r="I13" s="160">
        <v>6</v>
      </c>
    </row>
    <row r="14" spans="4:9" ht="75" customHeight="1">
      <c r="D14" s="161">
        <v>1</v>
      </c>
      <c r="E14" s="162" t="s">
        <v>76</v>
      </c>
      <c r="F14" s="163">
        <f>'[4]соб_послОдн'!H9</f>
        <v>1198.5700000000002</v>
      </c>
      <c r="G14" s="164">
        <f>'[4]соб_послОдн'!J9</f>
        <v>187.75311238795192</v>
      </c>
      <c r="H14" s="164">
        <f>'[4]соб_послОдн'!N9</f>
        <v>62.425788874814835</v>
      </c>
      <c r="I14" s="165">
        <f>'[4]соб_послОдн'!P9</f>
        <v>55.422775234649926</v>
      </c>
    </row>
    <row r="15" spans="4:9" ht="55.5" customHeight="1">
      <c r="D15" s="161">
        <v>2</v>
      </c>
      <c r="E15" s="162" t="s">
        <v>77</v>
      </c>
      <c r="F15" s="163">
        <f>'[4]соб_послОдн'!H10</f>
        <v>5.324246096208796</v>
      </c>
      <c r="G15" s="164">
        <f>'[4]соб_послОдн'!J10</f>
        <v>0.83403036592156</v>
      </c>
      <c r="H15" s="164">
        <f>'[4]соб_послОдн'!N10</f>
        <v>0.30178204340637405</v>
      </c>
      <c r="I15" s="165">
        <f>'[4]соб_послОдн'!P10</f>
        <v>0.270673391547893</v>
      </c>
    </row>
    <row r="16" spans="4:9" ht="23.25">
      <c r="D16" s="161" t="s">
        <v>78</v>
      </c>
      <c r="E16" s="166" t="s">
        <v>79</v>
      </c>
      <c r="F16" s="163">
        <f>'[4]соб_послОдн'!H11</f>
        <v>3.8391534415826536</v>
      </c>
      <c r="G16" s="164">
        <f>'[4]соб_послОдн'!J11</f>
        <v>0.6013941677099045</v>
      </c>
      <c r="H16" s="164">
        <f>'[4]соб_послОдн'!N11</f>
        <v>0.21760593887206212</v>
      </c>
      <c r="I16" s="165">
        <f>'[4]соб_послОдн'!P11</f>
        <v>0.1951744273139231</v>
      </c>
    </row>
    <row r="17" spans="4:9" ht="23.25">
      <c r="D17" s="161" t="s">
        <v>80</v>
      </c>
      <c r="E17" s="166" t="s">
        <v>81</v>
      </c>
      <c r="F17" s="163">
        <f>'[4]соб_послОдн'!H12</f>
        <v>0.8446137571481839</v>
      </c>
      <c r="G17" s="164">
        <f>'[4]соб_послОдн'!J12</f>
        <v>0.13230671689617898</v>
      </c>
      <c r="H17" s="164">
        <f>'[4]соб_послОдн'!N12</f>
        <v>0.04787330655185367</v>
      </c>
      <c r="I17" s="165">
        <f>'[4]соб_послОдн'!P12</f>
        <v>0.04293837400906308</v>
      </c>
    </row>
    <row r="18" spans="4:9" ht="23.25">
      <c r="D18" s="161" t="s">
        <v>82</v>
      </c>
      <c r="E18" s="166" t="s">
        <v>83</v>
      </c>
      <c r="F18" s="163">
        <f>'[4]соб_послОдн'!H13</f>
        <v>0.6404788974779584</v>
      </c>
      <c r="G18" s="164">
        <f>'[4]соб_послОдн'!J13</f>
        <v>0.10032948131547648</v>
      </c>
      <c r="H18" s="164">
        <f>'[4]соб_послОдн'!N13</f>
        <v>0.03630279798245824</v>
      </c>
      <c r="I18" s="165">
        <f>'[4]соб_послОдн'!P13</f>
        <v>0.03256059022490679</v>
      </c>
    </row>
    <row r="19" spans="4:9" ht="112.5" customHeight="1">
      <c r="D19" s="161">
        <v>3</v>
      </c>
      <c r="E19" s="162" t="s">
        <v>133</v>
      </c>
      <c r="F19" s="163">
        <f>'[4]соб_послОдн'!H14</f>
        <v>0</v>
      </c>
      <c r="G19" s="164">
        <f>'[4]соб_послОдн'!J14</f>
        <v>0</v>
      </c>
      <c r="H19" s="164">
        <f>'[4]соб_послОдн'!N14</f>
        <v>0</v>
      </c>
      <c r="I19" s="165">
        <f>'[4]соб_послОдн'!P14</f>
        <v>0</v>
      </c>
    </row>
    <row r="20" spans="4:9" ht="46.5" customHeight="1">
      <c r="D20" s="161">
        <v>4</v>
      </c>
      <c r="E20" s="162" t="s">
        <v>85</v>
      </c>
      <c r="F20" s="163" t="s">
        <v>84</v>
      </c>
      <c r="G20" s="164" t="s">
        <v>84</v>
      </c>
      <c r="H20" s="164">
        <f>'[4]соб_послОдн'!N15</f>
        <v>5.510008462414983</v>
      </c>
      <c r="I20" s="165">
        <f>'[4]соб_послОдн'!P15</f>
        <v>5.509984266937853</v>
      </c>
    </row>
    <row r="21" spans="4:9" ht="23.25">
      <c r="D21" s="161">
        <v>5</v>
      </c>
      <c r="E21" s="162" t="s">
        <v>86</v>
      </c>
      <c r="F21" s="163">
        <f>'[4]соб_послОдн'!H16</f>
        <v>0.7484707372941882</v>
      </c>
      <c r="G21" s="164">
        <f>'[4]соб_послОдн'!J16</f>
        <v>0.11724614370315369</v>
      </c>
      <c r="H21" s="164">
        <f>'[4]соб_послОдн'!N16</f>
        <v>0.04242385202505063</v>
      </c>
      <c r="I21" s="165">
        <f>'[4]соб_послОдн'!P16</f>
        <v>0.038050666568930344</v>
      </c>
    </row>
    <row r="22" spans="4:9" ht="31.5" customHeight="1">
      <c r="D22" s="161">
        <v>6</v>
      </c>
      <c r="E22" s="162" t="s">
        <v>87</v>
      </c>
      <c r="F22" s="163">
        <f>'[4]соб_послОдн'!H17</f>
        <v>1204.642716833503</v>
      </c>
      <c r="G22" s="164">
        <f>'[4]соб_послОдн'!J17</f>
        <v>188.70438889757665</v>
      </c>
      <c r="H22" s="164">
        <f>'[4]соб_послОдн'!N17</f>
        <v>68.28000323266124</v>
      </c>
      <c r="I22" s="165">
        <f>'[4]соб_послОдн'!P17</f>
        <v>61.241483559704605</v>
      </c>
    </row>
    <row r="23" spans="4:9" ht="23.25">
      <c r="D23" s="161">
        <v>7</v>
      </c>
      <c r="E23" s="162" t="s">
        <v>88</v>
      </c>
      <c r="F23" s="163">
        <f>'[4]соб_послОдн'!H18</f>
        <v>19.79</v>
      </c>
      <c r="G23" s="164">
        <f>'[4]соб_послОдн'!J18</f>
        <v>3.1000559785056927</v>
      </c>
      <c r="H23" s="164">
        <f>'[4]соб_послОдн'!N18</f>
        <v>1.030733592391421</v>
      </c>
      <c r="I23" s="165">
        <f>'[4]соб_послОдн'!P18</f>
        <v>0.9151043322113258</v>
      </c>
    </row>
    <row r="24" spans="4:9" ht="46.5">
      <c r="D24" s="161" t="s">
        <v>89</v>
      </c>
      <c r="E24" s="166" t="s">
        <v>90</v>
      </c>
      <c r="F24" s="163">
        <f>'[4]соб_послОдн'!H19</f>
        <v>19.79</v>
      </c>
      <c r="G24" s="164">
        <f>'[4]соб_послОдн'!J19</f>
        <v>3.1000559785056927</v>
      </c>
      <c r="H24" s="164">
        <f>'[4]соб_послОдн'!N19</f>
        <v>1.030733592391421</v>
      </c>
      <c r="I24" s="165">
        <f>'[4]соб_послОдн'!P19</f>
        <v>0.9151043322113258</v>
      </c>
    </row>
    <row r="25" spans="4:9" ht="23.25">
      <c r="D25" s="161" t="s">
        <v>91</v>
      </c>
      <c r="E25" s="162" t="s">
        <v>92</v>
      </c>
      <c r="F25" s="163">
        <f>'[4]соб_послОдн'!H20</f>
        <v>0</v>
      </c>
      <c r="G25" s="164">
        <f>'[4]соб_послОдн'!J20</f>
        <v>0</v>
      </c>
      <c r="H25" s="164">
        <f>'[4]соб_послОдн'!N20</f>
        <v>0</v>
      </c>
      <c r="I25" s="165">
        <f>'[4]соб_послОдн'!P20</f>
        <v>0</v>
      </c>
    </row>
    <row r="26" spans="4:9" ht="23.25">
      <c r="D26" s="161"/>
      <c r="E26" s="167" t="s">
        <v>93</v>
      </c>
      <c r="F26" s="163">
        <f>'[4]соб_послОдн'!H21</f>
        <v>0</v>
      </c>
      <c r="G26" s="164">
        <f>'[4]соб_послОдн'!J21</f>
        <v>0</v>
      </c>
      <c r="H26" s="164">
        <f>'[4]соб_послОдн'!N21</f>
        <v>0</v>
      </c>
      <c r="I26" s="165">
        <f>'[4]соб_послОдн'!P21</f>
        <v>0</v>
      </c>
    </row>
    <row r="27" spans="4:9" ht="23.25">
      <c r="D27" s="161"/>
      <c r="E27" s="168" t="s">
        <v>94</v>
      </c>
      <c r="F27" s="163">
        <f>'[4]соб_послОдн'!H22</f>
        <v>0</v>
      </c>
      <c r="G27" s="164">
        <f>'[4]соб_послОдн'!J22</f>
        <v>0</v>
      </c>
      <c r="H27" s="164">
        <f>'[4]соб_послОдн'!N22</f>
        <v>0</v>
      </c>
      <c r="I27" s="165">
        <f>'[4]соб_послОдн'!P22</f>
        <v>0</v>
      </c>
    </row>
    <row r="28" spans="4:9" ht="23.25">
      <c r="D28" s="161">
        <v>8</v>
      </c>
      <c r="E28" s="166" t="s">
        <v>95</v>
      </c>
      <c r="F28" s="163">
        <f>'[4]соб_послОдн'!H23</f>
        <v>8.181964751038024</v>
      </c>
      <c r="G28" s="164">
        <f>'[4]соб_послОдн'!J23</f>
        <v>1.281685130994354</v>
      </c>
      <c r="H28" s="164">
        <f>'[4]соб_послОдн'!N23</f>
        <v>0.463151627504386</v>
      </c>
      <c r="I28" s="165">
        <f>'[4]соб_послОдн'!P23</f>
        <v>0.4153458203008853</v>
      </c>
    </row>
    <row r="29" spans="4:9" ht="47.25" customHeight="1">
      <c r="D29" s="161">
        <v>9</v>
      </c>
      <c r="E29" s="162" t="s">
        <v>96</v>
      </c>
      <c r="F29" s="169">
        <f>'[4]соб_послОдн'!H24</f>
        <v>1212.8246815845412</v>
      </c>
      <c r="G29" s="170">
        <f>'[4]соб_послОдн'!J24</f>
        <v>189.986074028571</v>
      </c>
      <c r="H29" s="170">
        <f>'[4]соб_послОдн'!N24</f>
        <v>68.74315486016563</v>
      </c>
      <c r="I29" s="171">
        <f>'[4]соб_послОдн'!P24</f>
        <v>61.65682938000549</v>
      </c>
    </row>
    <row r="30" spans="4:9" ht="23.25">
      <c r="D30" s="161">
        <v>10</v>
      </c>
      <c r="E30" s="166" t="s">
        <v>97</v>
      </c>
      <c r="F30" s="163" t="str">
        <f>'[4]соб_послОдн'!H25</f>
        <v>x</v>
      </c>
      <c r="G30" s="170" t="str">
        <f>'[4]соб_послОдн'!J25</f>
        <v>x</v>
      </c>
      <c r="H30" s="164" t="str">
        <f>'[4]соб_послОдн'!N25</f>
        <v>x</v>
      </c>
      <c r="I30" s="165" t="str">
        <f>'[4]соб_послОдн'!P25</f>
        <v>x</v>
      </c>
    </row>
    <row r="31" spans="4:9" ht="51.75" customHeight="1">
      <c r="D31" s="161">
        <v>11</v>
      </c>
      <c r="E31" s="162" t="s">
        <v>98</v>
      </c>
      <c r="F31" s="169">
        <f>'[4]соб_послОдн'!H26</f>
        <v>1232.6146815845411</v>
      </c>
      <c r="G31" s="170">
        <f>'[4]соб_послОдн'!J26</f>
        <v>193.08613000707672</v>
      </c>
      <c r="H31" s="170">
        <f>'[4]соб_послОдн'!N26</f>
        <v>69.77388845255706</v>
      </c>
      <c r="I31" s="171">
        <f>'[4]соб_послОдн'!P26</f>
        <v>62.57193371221682</v>
      </c>
    </row>
    <row r="32" spans="4:9" ht="23.25">
      <c r="D32" s="161" t="s">
        <v>99</v>
      </c>
      <c r="E32" s="162" t="s">
        <v>100</v>
      </c>
      <c r="F32" s="169">
        <f>'[4]соб_послОдн'!H27</f>
        <v>1218.3600000000004</v>
      </c>
      <c r="G32" s="170">
        <f>'[4]соб_послОдн'!J27</f>
        <v>190.85316836645762</v>
      </c>
      <c r="H32" s="170" t="str">
        <f>'[4]соб_послОдн'!N27</f>
        <v>x</v>
      </c>
      <c r="I32" s="171" t="str">
        <f>'[4]соб_послОдн'!P27</f>
        <v>x</v>
      </c>
    </row>
    <row r="33" spans="4:9" ht="23.25">
      <c r="D33" s="161" t="s">
        <v>101</v>
      </c>
      <c r="E33" s="162" t="s">
        <v>102</v>
      </c>
      <c r="F33" s="169">
        <f>'[4]соб_послОдн'!H28</f>
        <v>14.25468158454092</v>
      </c>
      <c r="G33" s="170">
        <f>'[4]соб_послОдн'!J28</f>
        <v>2.2329616406191017</v>
      </c>
      <c r="H33" s="170" t="str">
        <f>'[4]соб_послОдн'!N28</f>
        <v>x</v>
      </c>
      <c r="I33" s="171" t="str">
        <f>'[4]соб_послОдн'!P28</f>
        <v>x</v>
      </c>
    </row>
    <row r="34" spans="4:9" ht="23.25">
      <c r="D34" s="161">
        <v>12</v>
      </c>
      <c r="E34" s="180" t="s">
        <v>103</v>
      </c>
      <c r="F34" s="181">
        <f>'[4]соб_послОдн'!H29</f>
        <v>1479.1376179014494</v>
      </c>
      <c r="G34" s="182">
        <f>'[4]соб_послОдн'!J29</f>
        <v>37.53098745185682</v>
      </c>
      <c r="H34" s="182">
        <f>'[4]соб_послОдн'!N29</f>
        <v>83.72866614306847</v>
      </c>
      <c r="I34" s="183">
        <f>'[4]соб_послОдн'!P29</f>
        <v>75.08632045466018</v>
      </c>
    </row>
    <row r="35" spans="4:9" ht="69.75" hidden="1">
      <c r="D35" s="161">
        <v>13</v>
      </c>
      <c r="E35" s="166" t="s">
        <v>104</v>
      </c>
      <c r="F35" s="169" t="s">
        <v>105</v>
      </c>
      <c r="G35" s="170">
        <f>G34*30.29/G36</f>
        <v>6.079217165330176</v>
      </c>
      <c r="H35" s="154" t="s">
        <v>105</v>
      </c>
      <c r="I35" s="155" t="s">
        <v>105</v>
      </c>
    </row>
    <row r="36" spans="4:9" ht="26.25" customHeight="1" thickBot="1">
      <c r="D36" s="172">
        <v>13</v>
      </c>
      <c r="E36" s="173" t="s">
        <v>106</v>
      </c>
      <c r="F36" s="174">
        <f>'[4]соб_послОдн'!E49</f>
        <v>187</v>
      </c>
      <c r="G36" s="175">
        <f>F36</f>
        <v>187</v>
      </c>
      <c r="H36" s="176" t="s">
        <v>105</v>
      </c>
      <c r="I36" s="177" t="s">
        <v>105</v>
      </c>
    </row>
    <row r="37" spans="4:9" ht="23.25">
      <c r="D37" s="148"/>
      <c r="E37" s="178"/>
      <c r="F37" s="151"/>
      <c r="G37" s="178"/>
      <c r="H37" s="178"/>
      <c r="I37" s="178"/>
    </row>
    <row r="38" spans="4:9" ht="23.25">
      <c r="D38" s="148"/>
      <c r="E38" s="178"/>
      <c r="F38" s="151"/>
      <c r="G38" s="178"/>
      <c r="H38" s="178"/>
      <c r="I38" s="178"/>
    </row>
    <row r="39" spans="4:9" ht="23.25">
      <c r="D39" s="31" t="s">
        <v>140</v>
      </c>
      <c r="E39" s="31"/>
      <c r="F39" s="31"/>
      <c r="G39" s="31"/>
      <c r="H39" s="31" t="s">
        <v>141</v>
      </c>
      <c r="I39" s="31"/>
    </row>
    <row r="40" spans="4:11" ht="23.25">
      <c r="D40" s="31"/>
      <c r="E40" s="31"/>
      <c r="F40" s="31"/>
      <c r="G40" s="31"/>
      <c r="H40" s="31"/>
      <c r="I40" s="31"/>
      <c r="J40" s="131"/>
      <c r="K40" s="131"/>
    </row>
    <row r="41" spans="4:9" ht="23.25">
      <c r="D41" s="31" t="s">
        <v>142</v>
      </c>
      <c r="E41" s="31"/>
      <c r="F41" s="31"/>
      <c r="G41" s="31"/>
      <c r="H41" s="31" t="s">
        <v>143</v>
      </c>
      <c r="I41" s="31"/>
    </row>
  </sheetData>
  <sheetProtection/>
  <mergeCells count="9">
    <mergeCell ref="G1:I1"/>
    <mergeCell ref="E4:I4"/>
    <mergeCell ref="E5:I5"/>
    <mergeCell ref="D8:D12"/>
    <mergeCell ref="E8:E12"/>
    <mergeCell ref="F8:G8"/>
    <mergeCell ref="H8:I8"/>
    <mergeCell ref="F9:F11"/>
    <mergeCell ref="G2:I2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1:R30"/>
  <sheetViews>
    <sheetView view="pageBreakPreview" zoomScale="60" zoomScaleNormal="73" zoomScalePageLayoutView="0" workbookViewId="0" topLeftCell="A1">
      <selection activeCell="M4" sqref="M4"/>
    </sheetView>
  </sheetViews>
  <sheetFormatPr defaultColWidth="9.140625" defaultRowHeight="12.75"/>
  <cols>
    <col min="6" max="6" width="46.57421875" style="0" customWidth="1"/>
    <col min="7" max="7" width="13.57421875" style="0" hidden="1" customWidth="1"/>
    <col min="8" max="12" width="0" style="0" hidden="1" customWidth="1"/>
    <col min="13" max="13" width="34.7109375" style="0" customWidth="1"/>
    <col min="14" max="14" width="0" style="0" hidden="1" customWidth="1"/>
    <col min="15" max="15" width="21.00390625" style="0" customWidth="1"/>
    <col min="16" max="16" width="0" style="0" hidden="1" customWidth="1"/>
    <col min="17" max="17" width="20.421875" style="0" customWidth="1"/>
    <col min="18" max="18" width="21.7109375" style="0" customWidth="1"/>
  </cols>
  <sheetData>
    <row r="1" spans="5:18" ht="24">
      <c r="E1" s="184"/>
      <c r="F1" s="185"/>
      <c r="G1" s="246"/>
      <c r="H1" s="246"/>
      <c r="I1" s="185"/>
      <c r="J1" s="185"/>
      <c r="K1" s="185"/>
      <c r="L1" s="185"/>
      <c r="M1" s="247" t="s">
        <v>134</v>
      </c>
      <c r="N1" s="247"/>
      <c r="O1" s="247"/>
      <c r="P1" s="247"/>
      <c r="Q1" s="247"/>
      <c r="R1" s="247"/>
    </row>
    <row r="2" spans="5:18" ht="48" customHeight="1">
      <c r="E2" s="184"/>
      <c r="F2" s="185"/>
      <c r="G2" s="246"/>
      <c r="H2" s="246"/>
      <c r="I2" s="185"/>
      <c r="J2" s="185"/>
      <c r="K2" s="185"/>
      <c r="L2" s="185"/>
      <c r="M2" s="186"/>
      <c r="N2" s="187"/>
      <c r="O2" s="187"/>
      <c r="P2" s="187"/>
      <c r="Q2" s="236" t="s">
        <v>154</v>
      </c>
      <c r="R2" s="236"/>
    </row>
    <row r="3" spans="5:18" ht="33.75" customHeight="1">
      <c r="E3" s="184"/>
      <c r="F3" s="185"/>
      <c r="G3" s="188"/>
      <c r="H3" s="188"/>
      <c r="I3" s="188"/>
      <c r="J3" s="185"/>
      <c r="K3" s="185"/>
      <c r="L3" s="185"/>
      <c r="M3" s="248"/>
      <c r="N3" s="248"/>
      <c r="O3" s="248"/>
      <c r="P3" s="248"/>
      <c r="Q3" s="248"/>
      <c r="R3" s="248"/>
    </row>
    <row r="4" spans="5:18" ht="33.75" customHeight="1">
      <c r="E4" s="184"/>
      <c r="F4" s="185"/>
      <c r="G4" s="188"/>
      <c r="H4" s="188"/>
      <c r="I4" s="188"/>
      <c r="J4" s="185"/>
      <c r="K4" s="185"/>
      <c r="L4" s="185"/>
      <c r="M4" s="189"/>
      <c r="N4" s="189"/>
      <c r="O4" s="189"/>
      <c r="P4" s="189"/>
      <c r="Q4" s="189"/>
      <c r="R4" s="189"/>
    </row>
    <row r="5" spans="5:18" ht="43.5" customHeight="1">
      <c r="E5" s="249" t="s">
        <v>107</v>
      </c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6" spans="5:18" ht="26.25" customHeight="1">
      <c r="E6" s="250" t="str">
        <f>'[4]соб_послОдн'!A2</f>
        <v>КП Прилукитепловодопостачання</v>
      </c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</row>
    <row r="7" spans="5:18" ht="26.25" customHeight="1"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</row>
    <row r="8" spans="5:18" ht="48.75" customHeight="1">
      <c r="E8" s="191"/>
      <c r="F8" s="191"/>
      <c r="G8" s="191"/>
      <c r="H8" s="191"/>
      <c r="I8" s="191"/>
      <c r="J8" s="191"/>
      <c r="K8" s="192"/>
      <c r="L8" s="192"/>
      <c r="M8" s="192"/>
      <c r="N8" s="245"/>
      <c r="O8" s="245"/>
      <c r="P8" s="245"/>
      <c r="Q8" s="245"/>
      <c r="R8" s="245"/>
    </row>
    <row r="9" spans="5:18" ht="36" customHeight="1">
      <c r="E9" s="237" t="s">
        <v>70</v>
      </c>
      <c r="F9" s="251" t="s">
        <v>108</v>
      </c>
      <c r="G9" s="251" t="s">
        <v>109</v>
      </c>
      <c r="H9" s="237" t="s">
        <v>110</v>
      </c>
      <c r="I9" s="237"/>
      <c r="J9" s="237"/>
      <c r="K9" s="237"/>
      <c r="L9" s="237"/>
      <c r="M9" s="237"/>
      <c r="N9" s="237"/>
      <c r="O9" s="237"/>
      <c r="P9" s="237"/>
      <c r="Q9" s="237"/>
      <c r="R9" s="237"/>
    </row>
    <row r="10" spans="5:18" ht="117.75" customHeight="1">
      <c r="E10" s="237"/>
      <c r="F10" s="252"/>
      <c r="G10" s="252"/>
      <c r="H10" s="238" t="s">
        <v>111</v>
      </c>
      <c r="I10" s="239"/>
      <c r="J10" s="239"/>
      <c r="K10" s="239"/>
      <c r="L10" s="239"/>
      <c r="M10" s="240"/>
      <c r="N10" s="241" t="s">
        <v>112</v>
      </c>
      <c r="O10" s="242"/>
      <c r="P10" s="241" t="s">
        <v>113</v>
      </c>
      <c r="Q10" s="242"/>
      <c r="R10" s="237" t="s">
        <v>114</v>
      </c>
    </row>
    <row r="11" spans="5:18" ht="72" customHeight="1">
      <c r="E11" s="237"/>
      <c r="F11" s="252"/>
      <c r="G11" s="253"/>
      <c r="H11" s="243"/>
      <c r="I11" s="244"/>
      <c r="J11" s="238" t="s">
        <v>115</v>
      </c>
      <c r="K11" s="240"/>
      <c r="L11" s="238" t="s">
        <v>116</v>
      </c>
      <c r="M11" s="240"/>
      <c r="N11" s="243"/>
      <c r="O11" s="244"/>
      <c r="P11" s="243"/>
      <c r="Q11" s="244"/>
      <c r="R11" s="237"/>
    </row>
    <row r="12" spans="5:18" ht="32.25" customHeight="1">
      <c r="E12" s="237"/>
      <c r="F12" s="253"/>
      <c r="G12" s="193" t="s">
        <v>117</v>
      </c>
      <c r="H12" s="193" t="s">
        <v>118</v>
      </c>
      <c r="I12" s="193" t="s">
        <v>119</v>
      </c>
      <c r="J12" s="193" t="s">
        <v>118</v>
      </c>
      <c r="K12" s="193" t="s">
        <v>119</v>
      </c>
      <c r="L12" s="193" t="s">
        <v>118</v>
      </c>
      <c r="M12" s="194" t="s">
        <v>119</v>
      </c>
      <c r="N12" s="194" t="s">
        <v>118</v>
      </c>
      <c r="O12" s="194" t="s">
        <v>119</v>
      </c>
      <c r="P12" s="194" t="s">
        <v>118</v>
      </c>
      <c r="Q12" s="194" t="s">
        <v>119</v>
      </c>
      <c r="R12" s="194" t="s">
        <v>119</v>
      </c>
    </row>
    <row r="13" spans="5:18" ht="24">
      <c r="E13" s="195">
        <v>1</v>
      </c>
      <c r="F13" s="195">
        <v>2</v>
      </c>
      <c r="G13" s="195">
        <v>3</v>
      </c>
      <c r="H13" s="195">
        <f>IF($I$20=0,0,(G13+1))</f>
        <v>4</v>
      </c>
      <c r="I13" s="195">
        <f>IF($I$20=0,0,(H13+1))</f>
        <v>5</v>
      </c>
      <c r="J13" s="195">
        <f>IF($I$20=0,0,IF($K$20=0,0,(H13+2)))</f>
        <v>0</v>
      </c>
      <c r="K13" s="195">
        <f>IF($I$20=0,0,IF($K$20=0,0,(I13+2)))</f>
        <v>0</v>
      </c>
      <c r="L13" s="195">
        <f>IF($I$20=0,0,IF(K20=0,I13+1,IF(M20=0,0,(K13+1))))</f>
        <v>6</v>
      </c>
      <c r="M13" s="195">
        <v>3</v>
      </c>
      <c r="N13" s="195">
        <f>IF(I20=0,(G13+1),IF(M20=0,K13+1,(M13+1)))</f>
        <v>4</v>
      </c>
      <c r="O13" s="195">
        <v>4</v>
      </c>
      <c r="P13" s="195">
        <f>IF($Q$20=0,0,O13+1)</f>
        <v>5</v>
      </c>
      <c r="Q13" s="195">
        <v>5</v>
      </c>
      <c r="R13" s="195">
        <v>6</v>
      </c>
    </row>
    <row r="14" spans="5:18" ht="97.5" customHeight="1">
      <c r="E14" s="196" t="s">
        <v>120</v>
      </c>
      <c r="F14" s="197" t="s">
        <v>121</v>
      </c>
      <c r="G14" s="198">
        <f>'[4]собіварт_посл_БІРО'!C10</f>
        <v>497.9250620000001</v>
      </c>
      <c r="H14" s="198">
        <f>'[4]собіварт_посл_БІРО'!D10</f>
        <v>15.101982000000001</v>
      </c>
      <c r="I14" s="198">
        <f>'[4]собіварт_посл_БІРО'!E10</f>
        <v>2.100414742698192</v>
      </c>
      <c r="J14" s="198">
        <f>'[4]собіварт_посл_БІРО'!F10</f>
        <v>0</v>
      </c>
      <c r="K14" s="198">
        <f>'[4]собіварт_посл_БІРО'!G10</f>
        <v>0</v>
      </c>
      <c r="L14" s="198">
        <f>'[4]собіварт_посл_БІРО'!H10</f>
        <v>15.101982000000001</v>
      </c>
      <c r="M14" s="199">
        <f>'[4]собіварт_посл_БІРО'!I10</f>
        <v>54.51979061371841</v>
      </c>
      <c r="N14" s="199">
        <f>'[4]собіварт_посл_БІРО'!J10</f>
        <v>476.9296560000001</v>
      </c>
      <c r="O14" s="199">
        <f>'[4]собіварт_посл_БІРО'!K10</f>
        <v>72.66945847935396</v>
      </c>
      <c r="P14" s="199">
        <f>'[4]собіварт_посл_БІРО'!L10</f>
        <v>5.8934239999999996</v>
      </c>
      <c r="Q14" s="199">
        <f>'[4]собіварт_посл_БІРО'!M10</f>
        <v>80.73183561643836</v>
      </c>
      <c r="R14" s="199">
        <f>'[4]собіварт_посл_БІРО'!O10</f>
        <v>39.115369863013704</v>
      </c>
    </row>
    <row r="15" spans="5:18" ht="72">
      <c r="E15" s="196" t="s">
        <v>122</v>
      </c>
      <c r="F15" s="200" t="s">
        <v>123</v>
      </c>
      <c r="G15" s="198">
        <f>'[4]собіварт_посл_БІРО'!C11</f>
        <v>38.09063</v>
      </c>
      <c r="H15" s="198">
        <f>'[4]собіварт_посл_БІРО'!D11</f>
        <v>1.52627</v>
      </c>
      <c r="I15" s="198">
        <f>'[4]собіварт_посл_БІРО'!E11</f>
        <v>0.21227677329624478</v>
      </c>
      <c r="J15" s="198">
        <f>'[4]собіварт_посл_БІРО'!F11</f>
        <v>0</v>
      </c>
      <c r="K15" s="198">
        <f>'[4]собіварт_посл_БІРО'!G11</f>
        <v>0</v>
      </c>
      <c r="L15" s="198">
        <f>'[4]собіварт_посл_БІРО'!H11</f>
        <v>1.52627</v>
      </c>
      <c r="M15" s="199">
        <f>'[4]собіварт_посл_БІРО'!I11</f>
        <v>5.51</v>
      </c>
      <c r="N15" s="199">
        <f>'[4]собіварт_посл_БІРО'!J11</f>
        <v>36.16213</v>
      </c>
      <c r="O15" s="199">
        <f>'[4]собіварт_посл_БІРО'!K11</f>
        <v>5.51</v>
      </c>
      <c r="P15" s="199">
        <f>'[4]собіварт_посл_БІРО'!L11</f>
        <v>0.40223</v>
      </c>
      <c r="Q15" s="199">
        <f>'[4]собіварт_посл_БІРО'!M11</f>
        <v>5.51</v>
      </c>
      <c r="R15" s="199">
        <f>'[4]собіварт_посл_БІРО'!O11</f>
        <v>5.51</v>
      </c>
    </row>
    <row r="16" spans="5:18" ht="48">
      <c r="E16" s="196" t="s">
        <v>124</v>
      </c>
      <c r="F16" s="197" t="s">
        <v>125</v>
      </c>
      <c r="G16" s="199">
        <f>'[4]собіварт_посл_БІРО'!C12</f>
        <v>6.301271999999999</v>
      </c>
      <c r="H16" s="199">
        <f>'[4]собіварт_посл_БІРО'!D12</f>
        <v>0.498708</v>
      </c>
      <c r="I16" s="199">
        <f>'[4]собіварт_посл_БІРО'!E12</f>
        <v>0.06936133518776078</v>
      </c>
      <c r="J16" s="199">
        <f>'[4]собіварт_посл_БІРО'!F12</f>
        <v>0</v>
      </c>
      <c r="K16" s="199">
        <f>'[4]собіварт_посл_БІРО'!G12</f>
        <v>0</v>
      </c>
      <c r="L16" s="199">
        <f>'[4]собіварт_посл_БІРО'!H12</f>
        <v>0.498708</v>
      </c>
      <c r="M16" s="199">
        <f>'[4]собіварт_посл_БІРО'!I12</f>
        <v>1.8003898916967507</v>
      </c>
      <c r="N16" s="199">
        <f>'[4]собіварт_посл_БІРО'!J12</f>
        <v>5.735142</v>
      </c>
      <c r="O16" s="199">
        <f>'[4]собіварт_посл_БІРО'!K12</f>
        <v>0.873859820204175</v>
      </c>
      <c r="P16" s="199">
        <f>'[4]собіварт_посл_БІРО'!L12</f>
        <v>0.06742200000000001</v>
      </c>
      <c r="Q16" s="199">
        <f>'[4]собіварт_посл_БІРО'!M12</f>
        <v>0.9235890410958906</v>
      </c>
      <c r="R16" s="199">
        <f>'[4]собіварт_посл_БІРО'!O12</f>
        <v>0</v>
      </c>
    </row>
    <row r="17" spans="5:18" ht="31.5" customHeight="1">
      <c r="E17" s="196" t="s">
        <v>126</v>
      </c>
      <c r="F17" s="197" t="s">
        <v>93</v>
      </c>
      <c r="G17" s="199">
        <f>'[4]собіварт_посл_БІРО'!C15</f>
        <v>4.96257276</v>
      </c>
      <c r="H17" s="199">
        <f>'[4]собіварт_посл_БІРО'!D15</f>
        <v>0.20447028</v>
      </c>
      <c r="I17" s="199">
        <f>'[4]собіварт_посл_БІРО'!E15</f>
        <v>0.02843814742698192</v>
      </c>
      <c r="J17" s="199">
        <f>'[4]собіварт_посл_БІРО'!F15</f>
        <v>0</v>
      </c>
      <c r="K17" s="199">
        <f>'[4]собіварт_посл_БІРО'!G15</f>
        <v>0</v>
      </c>
      <c r="L17" s="199">
        <f>'[4]собіварт_посл_БІРО'!H15</f>
        <v>0.20447028</v>
      </c>
      <c r="M17" s="199">
        <f>'[4]собіварт_посл_БІРО'!I15</f>
        <v>0.7381598555956678</v>
      </c>
      <c r="N17" s="199">
        <f>'[4]собіварт_посл_БІРО'!J15</f>
        <v>4.702816439999999</v>
      </c>
      <c r="O17" s="199">
        <f>'[4]собіварт_посл_БІРО'!K15</f>
        <v>0.7165650525674234</v>
      </c>
      <c r="P17" s="199">
        <f>'[4]собіварт_посл_БІРО'!L15</f>
        <v>0.05528604000000001</v>
      </c>
      <c r="Q17" s="199">
        <f>'[4]собіварт_посл_БІРО'!M15</f>
        <v>0.7573430136986303</v>
      </c>
      <c r="R17" s="199">
        <f>'[4]собіварт_посл_БІРО'!O15</f>
        <v>0</v>
      </c>
    </row>
    <row r="18" spans="5:18" ht="24.75" customHeight="1">
      <c r="E18" s="196" t="s">
        <v>127</v>
      </c>
      <c r="F18" s="197" t="s">
        <v>94</v>
      </c>
      <c r="G18" s="199">
        <f>'[4]собіварт_посл_БІРО'!C16</f>
        <v>1.0893452399999999</v>
      </c>
      <c r="H18" s="199">
        <f>'[4]собіварт_посл_БІРО'!D16</f>
        <v>0.044883719999999995</v>
      </c>
      <c r="I18" s="199">
        <f>'[4]собіварт_посл_БІРО'!E16</f>
        <v>0.006242520166898469</v>
      </c>
      <c r="J18" s="199">
        <f>'[4]собіварт_посл_БІРО'!F16</f>
        <v>0</v>
      </c>
      <c r="K18" s="199">
        <f>'[4]собіварт_посл_БІРО'!G16</f>
        <v>0</v>
      </c>
      <c r="L18" s="199">
        <f>'[4]собіварт_посл_БІРО'!H16</f>
        <v>0.044883719999999995</v>
      </c>
      <c r="M18" s="199">
        <f>'[4]собіварт_посл_БІРО'!I16</f>
        <v>0.16203509025270754</v>
      </c>
      <c r="N18" s="199">
        <f>'[4]собіварт_посл_БІРО'!J16</f>
        <v>1.0323255599999999</v>
      </c>
      <c r="O18" s="199">
        <f>'[4]собіварт_посл_БІРО'!K16</f>
        <v>0.15729476763675146</v>
      </c>
      <c r="P18" s="199">
        <f>'[4]собіварт_посл_БІРО'!L16</f>
        <v>0.012135960000000001</v>
      </c>
      <c r="Q18" s="199">
        <f>'[4]собіварт_посл_БІРО'!M16</f>
        <v>0.1662460273972603</v>
      </c>
      <c r="R18" s="199">
        <f>'[4]собіварт_посл_БІРО'!O16</f>
        <v>0</v>
      </c>
    </row>
    <row r="19" spans="5:18" ht="27.75" customHeight="1">
      <c r="E19" s="201" t="s">
        <v>128</v>
      </c>
      <c r="F19" s="197" t="s">
        <v>129</v>
      </c>
      <c r="G19" s="199">
        <f>'[4]собіварт_посл_БІРО'!C17</f>
        <v>542.3169640000001</v>
      </c>
      <c r="H19" s="199">
        <f>'[4]собіварт_посл_БІРО'!D17</f>
        <v>17.12696</v>
      </c>
      <c r="I19" s="199" t="s">
        <v>84</v>
      </c>
      <c r="J19" s="199">
        <f>'[4]собіварт_посл_БІРО'!F17</f>
        <v>0</v>
      </c>
      <c r="K19" s="199" t="s">
        <v>84</v>
      </c>
      <c r="L19" s="199">
        <f>'[4]собіварт_посл_БІРО'!H17</f>
        <v>17.12696</v>
      </c>
      <c r="M19" s="199" t="s">
        <v>84</v>
      </c>
      <c r="N19" s="199">
        <f>'[4]собіварт_посл_БІРО'!J17</f>
        <v>518.8269280000001</v>
      </c>
      <c r="O19" s="199" t="s">
        <v>84</v>
      </c>
      <c r="P19" s="199">
        <f>'[4]собіварт_посл_БІРО'!L17</f>
        <v>6.3630759999999995</v>
      </c>
      <c r="Q19" s="199" t="s">
        <v>84</v>
      </c>
      <c r="R19" s="199" t="s">
        <v>84</v>
      </c>
    </row>
    <row r="20" spans="5:18" ht="54.75" customHeight="1">
      <c r="E20" s="201" t="s">
        <v>130</v>
      </c>
      <c r="F20" s="197" t="s">
        <v>135</v>
      </c>
      <c r="G20" s="199" t="s">
        <v>84</v>
      </c>
      <c r="H20" s="199" t="s">
        <v>84</v>
      </c>
      <c r="I20" s="199">
        <f>'[4]собіварт_посл_БІРО'!E18</f>
        <v>2.3820528511821975</v>
      </c>
      <c r="J20" s="199" t="s">
        <v>84</v>
      </c>
      <c r="K20" s="199">
        <f>'[4]собіварт_посл_БІРО'!G18</f>
        <v>0</v>
      </c>
      <c r="L20" s="199" t="s">
        <v>84</v>
      </c>
      <c r="M20" s="199">
        <f>'[4]собіварт_посл_БІРО'!I18</f>
        <v>61.830180505415164</v>
      </c>
      <c r="N20" s="199" t="s">
        <v>84</v>
      </c>
      <c r="O20" s="199">
        <f>'[4]собіварт_посл_БІРО'!K18</f>
        <v>79.05331829955814</v>
      </c>
      <c r="P20" s="199" t="s">
        <v>84</v>
      </c>
      <c r="Q20" s="199">
        <f>'[4]собіварт_посл_БІРО'!M18</f>
        <v>87.16542465753425</v>
      </c>
      <c r="R20" s="199">
        <f>'[4]собіварт_посл_БІРО'!O18</f>
        <v>44.6253698630137</v>
      </c>
    </row>
    <row r="21" spans="5:18" ht="46.5">
      <c r="E21" s="202">
        <v>6</v>
      </c>
      <c r="F21" s="203" t="s">
        <v>136</v>
      </c>
      <c r="G21" s="204"/>
      <c r="H21" s="204"/>
      <c r="I21" s="204"/>
      <c r="J21" s="204"/>
      <c r="K21" s="204"/>
      <c r="L21" s="204"/>
      <c r="M21" s="205">
        <v>74.2</v>
      </c>
      <c r="N21" s="205"/>
      <c r="O21" s="205">
        <v>94.86</v>
      </c>
      <c r="P21" s="205"/>
      <c r="Q21" s="205">
        <v>104.6</v>
      </c>
      <c r="R21" s="205">
        <v>53.56</v>
      </c>
    </row>
    <row r="22" spans="5:18" ht="24"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</row>
    <row r="23" spans="5:18" ht="24"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</row>
    <row r="24" spans="5:18" ht="24">
      <c r="E24" s="206"/>
      <c r="F24" s="206" t="s">
        <v>140</v>
      </c>
      <c r="G24" s="206"/>
      <c r="H24" s="206"/>
      <c r="I24" s="206"/>
      <c r="J24" s="206" t="s">
        <v>141</v>
      </c>
      <c r="K24" s="206"/>
      <c r="L24" s="206"/>
      <c r="M24" s="206"/>
      <c r="N24" s="206"/>
      <c r="O24" s="206"/>
      <c r="P24" s="206"/>
      <c r="Q24" s="206"/>
      <c r="R24" s="206" t="s">
        <v>141</v>
      </c>
    </row>
    <row r="25" spans="5:18" ht="24"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</row>
    <row r="26" spans="5:18" ht="24">
      <c r="E26" s="206"/>
      <c r="F26" s="206" t="s">
        <v>142</v>
      </c>
      <c r="G26" s="206"/>
      <c r="H26" s="206"/>
      <c r="I26" s="206"/>
      <c r="J26" s="206" t="s">
        <v>143</v>
      </c>
      <c r="K26" s="206"/>
      <c r="L26" s="206"/>
      <c r="M26" s="206"/>
      <c r="N26" s="206"/>
      <c r="O26" s="206"/>
      <c r="P26" s="206"/>
      <c r="Q26" s="206"/>
      <c r="R26" s="206" t="s">
        <v>143</v>
      </c>
    </row>
    <row r="27" spans="5:18" ht="15.7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5:18" ht="15.7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5:18" ht="15.7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5:18" ht="15.7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</sheetData>
  <sheetProtection/>
  <mergeCells count="18">
    <mergeCell ref="E9:E12"/>
    <mergeCell ref="G1:H2"/>
    <mergeCell ref="M1:R1"/>
    <mergeCell ref="M3:R3"/>
    <mergeCell ref="E5:R5"/>
    <mergeCell ref="E6:R6"/>
    <mergeCell ref="F9:F12"/>
    <mergeCell ref="G9:G11"/>
    <mergeCell ref="Q2:R2"/>
    <mergeCell ref="H9:R9"/>
    <mergeCell ref="H10:M10"/>
    <mergeCell ref="N10:O11"/>
    <mergeCell ref="P10:Q11"/>
    <mergeCell ref="R10:R11"/>
    <mergeCell ref="H11:I11"/>
    <mergeCell ref="J11:K11"/>
    <mergeCell ref="L11:M11"/>
    <mergeCell ref="N8:R8"/>
  </mergeCells>
  <conditionalFormatting sqref="E11:R11 E13:R13">
    <cfRule type="cellIs" priority="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M51"/>
  <sheetViews>
    <sheetView tabSelected="1" view="pageBreakPreview" zoomScale="60" zoomScaleNormal="73" zoomScalePageLayoutView="0" workbookViewId="0" topLeftCell="A1">
      <selection activeCell="D5" sqref="D5:M5"/>
    </sheetView>
  </sheetViews>
  <sheetFormatPr defaultColWidth="9.140625" defaultRowHeight="12.75"/>
  <cols>
    <col min="5" max="5" width="52.7109375" style="0" customWidth="1"/>
    <col min="6" max="6" width="11.421875" style="0" customWidth="1"/>
    <col min="7" max="7" width="11.8515625" style="0" customWidth="1"/>
    <col min="8" max="8" width="10.57421875" style="0" customWidth="1"/>
    <col min="9" max="9" width="15.28125" style="0" customWidth="1"/>
    <col min="10" max="10" width="11.8515625" style="0" customWidth="1"/>
    <col min="11" max="11" width="10.7109375" style="0" customWidth="1"/>
    <col min="12" max="12" width="12.00390625" style="0" customWidth="1"/>
    <col min="13" max="13" width="13.00390625" style="0" customWidth="1"/>
  </cols>
  <sheetData>
    <row r="1" spans="4:13" ht="22.5">
      <c r="D1" s="83"/>
      <c r="E1" s="84"/>
      <c r="F1" s="84"/>
      <c r="G1" s="84"/>
      <c r="H1" s="84"/>
      <c r="I1" s="84"/>
      <c r="J1" s="84"/>
      <c r="K1" s="85" t="s">
        <v>137</v>
      </c>
      <c r="L1" s="86"/>
      <c r="M1" s="87"/>
    </row>
    <row r="2" spans="4:13" ht="22.5">
      <c r="D2" s="83"/>
      <c r="E2" s="84"/>
      <c r="F2" s="84"/>
      <c r="G2" s="84"/>
      <c r="H2" s="84"/>
      <c r="I2" s="84"/>
      <c r="J2" s="84"/>
      <c r="K2" s="88" t="s">
        <v>131</v>
      </c>
      <c r="L2" s="86"/>
      <c r="M2" s="87"/>
    </row>
    <row r="3" spans="4:13" ht="22.5">
      <c r="D3" s="83"/>
      <c r="E3" s="89"/>
      <c r="F3" s="89"/>
      <c r="G3" s="89"/>
      <c r="H3" s="89"/>
      <c r="I3" s="89"/>
      <c r="J3" s="89"/>
      <c r="K3" s="90" t="s">
        <v>151</v>
      </c>
      <c r="L3" s="91"/>
      <c r="M3" s="87"/>
    </row>
    <row r="4" spans="4:13" ht="22.5">
      <c r="D4" s="83"/>
      <c r="E4" s="89"/>
      <c r="F4" s="89"/>
      <c r="G4" s="89"/>
      <c r="H4" s="89"/>
      <c r="I4" s="89"/>
      <c r="J4" s="89"/>
      <c r="K4" s="89"/>
      <c r="L4" s="89"/>
      <c r="M4" s="89"/>
    </row>
    <row r="5" spans="4:13" ht="21.75">
      <c r="D5" s="218" t="s">
        <v>138</v>
      </c>
      <c r="E5" s="218"/>
      <c r="F5" s="218"/>
      <c r="G5" s="218"/>
      <c r="H5" s="218"/>
      <c r="I5" s="218"/>
      <c r="J5" s="218"/>
      <c r="K5" s="218"/>
      <c r="L5" s="218"/>
      <c r="M5" s="218"/>
    </row>
    <row r="6" spans="4:13" ht="21.75">
      <c r="D6" s="218" t="s">
        <v>1</v>
      </c>
      <c r="E6" s="218"/>
      <c r="F6" s="218"/>
      <c r="G6" s="218"/>
      <c r="H6" s="218"/>
      <c r="I6" s="218"/>
      <c r="J6" s="218"/>
      <c r="K6" s="218"/>
      <c r="L6" s="218"/>
      <c r="M6" s="218"/>
    </row>
    <row r="7" spans="4:13" ht="21.75">
      <c r="D7" s="218"/>
      <c r="E7" s="218"/>
      <c r="F7" s="218"/>
      <c r="G7" s="218"/>
      <c r="H7" s="218"/>
      <c r="I7" s="218"/>
      <c r="J7" s="218"/>
      <c r="K7" s="218"/>
      <c r="L7" s="218"/>
      <c r="M7" s="218"/>
    </row>
    <row r="8" spans="4:13" ht="22.5">
      <c r="D8" s="83"/>
      <c r="E8" s="92"/>
      <c r="F8" s="92"/>
      <c r="G8" s="92"/>
      <c r="H8" s="92"/>
      <c r="I8" s="92"/>
      <c r="J8" s="92"/>
      <c r="K8" s="92"/>
      <c r="L8" s="92"/>
      <c r="M8" s="93" t="s">
        <v>2</v>
      </c>
    </row>
    <row r="9" spans="4:13" ht="79.5" customHeight="1">
      <c r="D9" s="220" t="s">
        <v>3</v>
      </c>
      <c r="E9" s="221" t="s">
        <v>4</v>
      </c>
      <c r="F9" s="222" t="s">
        <v>5</v>
      </c>
      <c r="G9" s="223"/>
      <c r="H9" s="222" t="s">
        <v>6</v>
      </c>
      <c r="I9" s="223"/>
      <c r="J9" s="222" t="s">
        <v>7</v>
      </c>
      <c r="K9" s="223"/>
      <c r="L9" s="221" t="s">
        <v>139</v>
      </c>
      <c r="M9" s="221"/>
    </row>
    <row r="10" spans="4:13" ht="67.5">
      <c r="D10" s="220"/>
      <c r="E10" s="221"/>
      <c r="F10" s="95" t="s">
        <v>8</v>
      </c>
      <c r="G10" s="95" t="s">
        <v>9</v>
      </c>
      <c r="H10" s="95" t="s">
        <v>8</v>
      </c>
      <c r="I10" s="95" t="s">
        <v>9</v>
      </c>
      <c r="J10" s="95" t="s">
        <v>8</v>
      </c>
      <c r="K10" s="95" t="s">
        <v>9</v>
      </c>
      <c r="L10" s="95" t="s">
        <v>8</v>
      </c>
      <c r="M10" s="95" t="s">
        <v>9</v>
      </c>
    </row>
    <row r="11" spans="4:13" ht="22.5">
      <c r="D11" s="96">
        <v>1</v>
      </c>
      <c r="E11" s="97">
        <v>2</v>
      </c>
      <c r="F11" s="97">
        <v>3</v>
      </c>
      <c r="G11" s="97">
        <v>4</v>
      </c>
      <c r="H11" s="97">
        <v>5</v>
      </c>
      <c r="I11" s="97">
        <v>6</v>
      </c>
      <c r="J11" s="97">
        <v>7</v>
      </c>
      <c r="K11" s="97">
        <v>8</v>
      </c>
      <c r="L11" s="96">
        <v>9</v>
      </c>
      <c r="M11" s="96">
        <v>10</v>
      </c>
    </row>
    <row r="12" spans="4:13" ht="27.75" customHeight="1">
      <c r="D12" s="119">
        <v>1</v>
      </c>
      <c r="E12" s="98" t="s">
        <v>10</v>
      </c>
      <c r="F12" s="103">
        <f>F13+F21+F22+F25</f>
        <v>3.1800661523883473</v>
      </c>
      <c r="G12" s="104">
        <f>F12/$F$45*1000</f>
        <v>739.55026799729</v>
      </c>
      <c r="H12" s="103">
        <f>H13+H21+H22+H25</f>
        <v>0.32120811933251936</v>
      </c>
      <c r="I12" s="104">
        <f>H12/$H$45*1000</f>
        <v>74.6995626354696</v>
      </c>
      <c r="J12" s="132">
        <f>J13+J21+J22+J25</f>
        <v>0.004757239182808478</v>
      </c>
      <c r="K12" s="104">
        <f>J12/$J$45*1000</f>
        <v>1.10633469367639</v>
      </c>
      <c r="L12" s="105">
        <f>F12+H12+J12</f>
        <v>3.506031510903675</v>
      </c>
      <c r="M12" s="105">
        <f>L12/$L$45*1000</f>
        <v>815.356165326436</v>
      </c>
    </row>
    <row r="13" spans="4:13" ht="43.5">
      <c r="D13" s="94" t="s">
        <v>11</v>
      </c>
      <c r="E13" s="98" t="s">
        <v>12</v>
      </c>
      <c r="F13" s="99">
        <f>F14+F15+F19+F20</f>
        <v>2.553817244368712</v>
      </c>
      <c r="G13" s="101">
        <f aca="true" t="shared" si="0" ref="G13:G42">F13/$F$45*1000</f>
        <v>593.910987062491</v>
      </c>
      <c r="H13" s="99">
        <f>H14+H15+H19+H20</f>
        <v>0.11862107750751479</v>
      </c>
      <c r="I13" s="101">
        <f aca="true" t="shared" si="1" ref="I13:I43">H13/$H$45*1000</f>
        <v>27.586297094770874</v>
      </c>
      <c r="J13" s="101">
        <f>'[1]Д5'!G10*'[1]Д5'!G40/'[1]Д5'!G39</f>
        <v>0</v>
      </c>
      <c r="K13" s="101">
        <f aca="true" t="shared" si="2" ref="K13:K43">J13/$J$45*1000</f>
        <v>0</v>
      </c>
      <c r="L13" s="102">
        <f>F13+H13+J13</f>
        <v>2.6724383218762267</v>
      </c>
      <c r="M13" s="102">
        <f aca="true" t="shared" si="3" ref="M13:M42">L13/$L$45*1000</f>
        <v>621.4972841572619</v>
      </c>
    </row>
    <row r="14" spans="4:13" ht="22.5">
      <c r="D14" s="106" t="s">
        <v>13</v>
      </c>
      <c r="E14" s="107" t="s">
        <v>14</v>
      </c>
      <c r="F14" s="108">
        <f>'[1]Д3'!T10</f>
        <v>2.118050420168067</v>
      </c>
      <c r="G14" s="109">
        <f t="shared" si="0"/>
        <v>492.56986515536437</v>
      </c>
      <c r="H14" s="109">
        <v>0</v>
      </c>
      <c r="I14" s="109">
        <f t="shared" si="1"/>
        <v>0</v>
      </c>
      <c r="J14" s="110">
        <v>0</v>
      </c>
      <c r="K14" s="109">
        <f t="shared" si="2"/>
        <v>0</v>
      </c>
      <c r="L14" s="111">
        <f aca="true" t="shared" si="4" ref="L14:L43">F14+H14+J14</f>
        <v>2.118050420168067</v>
      </c>
      <c r="M14" s="111">
        <f t="shared" si="3"/>
        <v>492.56986515536437</v>
      </c>
    </row>
    <row r="15" spans="4:13" ht="22.5">
      <c r="D15" s="106" t="s">
        <v>15</v>
      </c>
      <c r="E15" s="107" t="s">
        <v>16</v>
      </c>
      <c r="F15" s="108">
        <f>'[1]Д3'!T11</f>
        <v>0.3756628824304919</v>
      </c>
      <c r="G15" s="109">
        <f t="shared" si="0"/>
        <v>87.36346103034694</v>
      </c>
      <c r="H15" s="108">
        <f>'[1]Д4'!G12*'[1]Д4'!G56/'[1]Д4'!G53</f>
        <v>0.0019401554754378452</v>
      </c>
      <c r="I15" s="109">
        <f t="shared" si="1"/>
        <v>0.451198947776243</v>
      </c>
      <c r="J15" s="109">
        <v>0</v>
      </c>
      <c r="K15" s="109">
        <f t="shared" si="2"/>
        <v>0</v>
      </c>
      <c r="L15" s="113">
        <f t="shared" si="4"/>
        <v>0.37760303790592975</v>
      </c>
      <c r="M15" s="135">
        <f t="shared" si="3"/>
        <v>87.81465997812319</v>
      </c>
    </row>
    <row r="16" spans="4:13" ht="45">
      <c r="D16" s="106" t="s">
        <v>17</v>
      </c>
      <c r="E16" s="107" t="s">
        <v>18</v>
      </c>
      <c r="F16" s="110">
        <v>0</v>
      </c>
      <c r="G16" s="110">
        <f t="shared" si="0"/>
        <v>0</v>
      </c>
      <c r="H16" s="110">
        <v>0</v>
      </c>
      <c r="I16" s="110">
        <f t="shared" si="1"/>
        <v>0</v>
      </c>
      <c r="J16" s="110">
        <v>0</v>
      </c>
      <c r="K16" s="110">
        <f t="shared" si="2"/>
        <v>0</v>
      </c>
      <c r="L16" s="111">
        <f t="shared" si="4"/>
        <v>0</v>
      </c>
      <c r="M16" s="111">
        <f t="shared" si="3"/>
        <v>0</v>
      </c>
    </row>
    <row r="17" spans="4:13" ht="30" customHeight="1">
      <c r="D17" s="106" t="s">
        <v>19</v>
      </c>
      <c r="E17" s="107" t="s">
        <v>20</v>
      </c>
      <c r="F17" s="109">
        <v>0</v>
      </c>
      <c r="G17" s="109">
        <f t="shared" si="0"/>
        <v>0</v>
      </c>
      <c r="H17" s="109">
        <v>0</v>
      </c>
      <c r="I17" s="109">
        <f t="shared" si="1"/>
        <v>0</v>
      </c>
      <c r="J17" s="109">
        <v>0</v>
      </c>
      <c r="K17" s="109">
        <f t="shared" si="2"/>
        <v>0</v>
      </c>
      <c r="L17" s="113">
        <f t="shared" si="4"/>
        <v>0</v>
      </c>
      <c r="M17" s="113">
        <f t="shared" si="3"/>
        <v>0</v>
      </c>
    </row>
    <row r="18" spans="4:13" ht="67.5">
      <c r="D18" s="106" t="s">
        <v>21</v>
      </c>
      <c r="E18" s="114" t="s">
        <v>22</v>
      </c>
      <c r="F18" s="110">
        <v>0</v>
      </c>
      <c r="G18" s="110">
        <f t="shared" si="0"/>
        <v>0</v>
      </c>
      <c r="H18" s="110">
        <v>0</v>
      </c>
      <c r="I18" s="110">
        <f t="shared" si="1"/>
        <v>0</v>
      </c>
      <c r="J18" s="110">
        <v>0</v>
      </c>
      <c r="K18" s="110">
        <f t="shared" si="2"/>
        <v>0</v>
      </c>
      <c r="L18" s="111">
        <f t="shared" si="4"/>
        <v>0</v>
      </c>
      <c r="M18" s="111">
        <f t="shared" si="3"/>
        <v>0</v>
      </c>
    </row>
    <row r="19" spans="4:13" ht="45">
      <c r="D19" s="106" t="s">
        <v>23</v>
      </c>
      <c r="E19" s="114" t="s">
        <v>24</v>
      </c>
      <c r="F19" s="112">
        <f>'[1]Д3'!T13</f>
        <v>0.000852883098022734</v>
      </c>
      <c r="G19" s="110">
        <f t="shared" si="0"/>
        <v>0.1983449065169149</v>
      </c>
      <c r="H19" s="112">
        <f>'[1]Д4'!G14*'[1]Д4'!G56/'[1]Д4'!G53</f>
        <v>0.008115573825594071</v>
      </c>
      <c r="I19" s="110">
        <f t="shared" si="1"/>
        <v>1.8873427501381557</v>
      </c>
      <c r="J19" s="110">
        <v>0</v>
      </c>
      <c r="K19" s="110">
        <f t="shared" si="2"/>
        <v>0</v>
      </c>
      <c r="L19" s="111">
        <f t="shared" si="4"/>
        <v>0.008968456923616806</v>
      </c>
      <c r="M19" s="111">
        <f t="shared" si="3"/>
        <v>2.085687656655071</v>
      </c>
    </row>
    <row r="20" spans="4:13" ht="47.25" customHeight="1">
      <c r="D20" s="106" t="s">
        <v>25</v>
      </c>
      <c r="E20" s="114" t="s">
        <v>26</v>
      </c>
      <c r="F20" s="112">
        <f>'[1]Д3'!T14</f>
        <v>0.05925105867213006</v>
      </c>
      <c r="G20" s="110">
        <f t="shared" si="0"/>
        <v>13.779315970262802</v>
      </c>
      <c r="H20" s="112">
        <f>'[1]Д4'!G15*'[1]Д4'!G56/'[1]Д4'!G53</f>
        <v>0.10856534820648286</v>
      </c>
      <c r="I20" s="110">
        <f t="shared" si="1"/>
        <v>25.247755396856476</v>
      </c>
      <c r="J20" s="110">
        <v>0</v>
      </c>
      <c r="K20" s="110">
        <f t="shared" si="2"/>
        <v>0</v>
      </c>
      <c r="L20" s="111">
        <f t="shared" si="4"/>
        <v>0.16781640687861293</v>
      </c>
      <c r="M20" s="111">
        <f t="shared" si="3"/>
        <v>39.027071367119284</v>
      </c>
    </row>
    <row r="21" spans="4:13" ht="63" customHeight="1">
      <c r="D21" s="94" t="s">
        <v>27</v>
      </c>
      <c r="E21" s="116" t="s">
        <v>28</v>
      </c>
      <c r="F21" s="99">
        <f>'[1]Д3'!T15+'[1]Д3'!T17</f>
        <v>0.5678625847248218</v>
      </c>
      <c r="G21" s="101">
        <f t="shared" si="0"/>
        <v>132.0610662150748</v>
      </c>
      <c r="H21" s="101">
        <f>('[1]Д4'!G16+'[1]Д4'!G18)*'[1]Д4'!G56/'[1]Д4'!G53</f>
        <v>0.15624576243782975</v>
      </c>
      <c r="I21" s="101">
        <f t="shared" si="1"/>
        <v>36.336223822751094</v>
      </c>
      <c r="J21" s="142">
        <f>('[1]Д5'!G11+'[1]Д5'!G13)/'[1]Д5'!G39*'[1]Д5'!G42</f>
        <v>0.004745524558048227</v>
      </c>
      <c r="K21" s="101">
        <f t="shared" si="2"/>
        <v>1.1036103623367968</v>
      </c>
      <c r="L21" s="102">
        <f t="shared" si="4"/>
        <v>0.7288538717206997</v>
      </c>
      <c r="M21" s="102">
        <f t="shared" si="3"/>
        <v>169.5009004001627</v>
      </c>
    </row>
    <row r="22" spans="4:13" ht="32.25" customHeight="1">
      <c r="D22" s="94" t="s">
        <v>29</v>
      </c>
      <c r="E22" s="117" t="s">
        <v>30</v>
      </c>
      <c r="F22" s="99">
        <f>'[1]Д3'!T16-'[1]Д3'!T17</f>
        <v>0.048057044586943515</v>
      </c>
      <c r="G22" s="101">
        <f t="shared" si="0"/>
        <v>11.176056880684536</v>
      </c>
      <c r="H22" s="101">
        <f>('[1]Д4'!G17-'[1]Д4'!G18)*'[1]Д4'!G56/'[1]Д4'!G53</f>
        <v>0.04569957920934</v>
      </c>
      <c r="I22" s="101">
        <f t="shared" si="1"/>
        <v>10.627809118451161</v>
      </c>
      <c r="J22" s="101">
        <f>('[1]Д5'!G14+'[1]Д5'!G15)*'[1]Д5'!G42/'[1]Д5'!G39</f>
        <v>2.211042736493656E-06</v>
      </c>
      <c r="K22" s="101">
        <f t="shared" si="2"/>
        <v>0.0005141959852310826</v>
      </c>
      <c r="L22" s="102">
        <f t="shared" si="4"/>
        <v>0.09375883483902002</v>
      </c>
      <c r="M22" s="102">
        <f t="shared" si="3"/>
        <v>21.80438019512093</v>
      </c>
    </row>
    <row r="23" spans="4:13" ht="22.5">
      <c r="D23" s="106" t="s">
        <v>31</v>
      </c>
      <c r="E23" s="114" t="s">
        <v>32</v>
      </c>
      <c r="F23" s="112">
        <f>'[1]Д3'!T18</f>
        <v>0.017590141350641304</v>
      </c>
      <c r="G23" s="110">
        <f t="shared" si="0"/>
        <v>4.090730546660768</v>
      </c>
      <c r="H23" s="110">
        <f>'[1]Д4'!G19*'[1]Д4'!G56/'[1]Д4'!G53</f>
        <v>0.028191156925907658</v>
      </c>
      <c r="I23" s="110">
        <f t="shared" si="1"/>
        <v>6.556083006025036</v>
      </c>
      <c r="J23" s="110">
        <v>0</v>
      </c>
      <c r="K23" s="110">
        <f t="shared" si="2"/>
        <v>0</v>
      </c>
      <c r="L23" s="111">
        <f t="shared" si="4"/>
        <v>0.04578129827654896</v>
      </c>
      <c r="M23" s="111">
        <f t="shared" si="3"/>
        <v>10.646813552685803</v>
      </c>
    </row>
    <row r="24" spans="4:13" ht="22.5">
      <c r="D24" s="106" t="s">
        <v>33</v>
      </c>
      <c r="E24" s="136" t="s">
        <v>34</v>
      </c>
      <c r="F24" s="112">
        <f>F22-F23</f>
        <v>0.03046690323630221</v>
      </c>
      <c r="G24" s="110">
        <f t="shared" si="0"/>
        <v>7.085326334023769</v>
      </c>
      <c r="H24" s="110">
        <f>H22-H23</f>
        <v>0.017508422283432343</v>
      </c>
      <c r="I24" s="110">
        <f t="shared" si="1"/>
        <v>4.071726112426125</v>
      </c>
      <c r="J24" s="110">
        <v>0</v>
      </c>
      <c r="K24" s="110">
        <f t="shared" si="2"/>
        <v>0</v>
      </c>
      <c r="L24" s="111">
        <f t="shared" si="4"/>
        <v>0.04797532551973455</v>
      </c>
      <c r="M24" s="111">
        <f t="shared" si="3"/>
        <v>11.157052446449896</v>
      </c>
    </row>
    <row r="25" spans="4:13" ht="43.5">
      <c r="D25" s="94" t="s">
        <v>35</v>
      </c>
      <c r="E25" s="137" t="s">
        <v>36</v>
      </c>
      <c r="F25" s="99">
        <f>'[1]Д3'!T20</f>
        <v>0.010329278707870326</v>
      </c>
      <c r="G25" s="101">
        <f t="shared" si="0"/>
        <v>2.40215783903961</v>
      </c>
      <c r="H25" s="101">
        <f>'[1]Д4'!G21*'[1]Д4'!G56/'[1]Д4'!G53</f>
        <v>0.0006417001778348505</v>
      </c>
      <c r="I25" s="101">
        <f t="shared" si="1"/>
        <v>0.14923259949647683</v>
      </c>
      <c r="J25" s="101">
        <f>'[1]Д5'!G16*'[1]Д5'!G42/'[1]Д5'!G39</f>
        <v>9.503582023757864E-06</v>
      </c>
      <c r="K25" s="101">
        <f t="shared" si="2"/>
        <v>0.0022101353543622936</v>
      </c>
      <c r="L25" s="102">
        <f t="shared" si="4"/>
        <v>0.010980482467728935</v>
      </c>
      <c r="M25" s="102">
        <f t="shared" si="3"/>
        <v>2.5536005738904497</v>
      </c>
    </row>
    <row r="26" spans="4:13" ht="48.75" customHeight="1">
      <c r="D26" s="106" t="s">
        <v>37</v>
      </c>
      <c r="E26" s="114" t="s">
        <v>38</v>
      </c>
      <c r="F26" s="112">
        <f>'[1]Д3'!T21+'[1]Д3'!T22</f>
        <v>0.005317449788895588</v>
      </c>
      <c r="G26" s="110">
        <f t="shared" si="0"/>
        <v>1.236616229975718</v>
      </c>
      <c r="H26" s="110">
        <f>('[1]Д4'!G22+'[1]Д4'!G23)*'[1]Д4'!G56/'[1]Д4'!G53</f>
        <v>0.00033034324400032654</v>
      </c>
      <c r="I26" s="110">
        <f t="shared" si="1"/>
        <v>0.07682401023263408</v>
      </c>
      <c r="J26" s="110">
        <f>('[1]Д5'!G17+'[1]Д5'!G18)*'[1]Д5'!G42/'[1]Д5'!G39</f>
        <v>4.8925348580016545E-06</v>
      </c>
      <c r="K26" s="110">
        <f t="shared" si="2"/>
        <v>0.0011377988041864312</v>
      </c>
      <c r="L26" s="111">
        <f t="shared" si="4"/>
        <v>0.005652685567753916</v>
      </c>
      <c r="M26" s="111">
        <f t="shared" si="3"/>
        <v>1.3145780390125386</v>
      </c>
    </row>
    <row r="27" spans="4:13" ht="22.5">
      <c r="D27" s="106" t="s">
        <v>39</v>
      </c>
      <c r="E27" s="114" t="s">
        <v>32</v>
      </c>
      <c r="F27" s="110">
        <f>'[2]9 (3)'!$V$12*'[1]Д3'!T43/'[1]Д3'!H43</f>
        <v>0.0014163539611720401</v>
      </c>
      <c r="G27" s="110">
        <f t="shared" si="0"/>
        <v>0.32938464213303253</v>
      </c>
      <c r="H27" s="110">
        <f>'[2]9 (3)'!$W$12*'[1]Д4'!G56/'[1]Д4'!G53</f>
        <v>8.771269335604073E-05</v>
      </c>
      <c r="I27" s="110">
        <f t="shared" si="1"/>
        <v>0.020398300780474585</v>
      </c>
      <c r="J27" s="110">
        <f>('[2]9 (3)'!$X$12*'[1]Д5'!G42/'[1]Д5'!G39)</f>
        <v>1.1773515886717802E-06</v>
      </c>
      <c r="K27" s="110">
        <f t="shared" si="2"/>
        <v>0.00027380269503994885</v>
      </c>
      <c r="L27" s="111">
        <f t="shared" si="4"/>
        <v>0.0015052440061167527</v>
      </c>
      <c r="M27" s="111">
        <f t="shared" si="3"/>
        <v>0.3500567456085471</v>
      </c>
    </row>
    <row r="28" spans="4:13" ht="22.5">
      <c r="D28" s="106" t="s">
        <v>40</v>
      </c>
      <c r="E28" s="136" t="s">
        <v>41</v>
      </c>
      <c r="F28" s="133">
        <f>F25-F26-F27</f>
        <v>0.003595474957802698</v>
      </c>
      <c r="G28" s="134">
        <f t="shared" si="0"/>
        <v>0.8361569669308598</v>
      </c>
      <c r="H28" s="134">
        <f>H25-H26-H27</f>
        <v>0.00022364424047848324</v>
      </c>
      <c r="I28" s="134">
        <f t="shared" si="1"/>
        <v>0.05201028848336819</v>
      </c>
      <c r="J28" s="134">
        <f>J25-J26-J27</f>
        <v>3.433695577084429E-06</v>
      </c>
      <c r="K28" s="134">
        <f t="shared" si="2"/>
        <v>0.0007985338551359136</v>
      </c>
      <c r="L28" s="135">
        <f t="shared" si="4"/>
        <v>0.0038225528938582655</v>
      </c>
      <c r="M28" s="135">
        <f t="shared" si="3"/>
        <v>0.888965789269364</v>
      </c>
    </row>
    <row r="29" spans="4:13" ht="21.75">
      <c r="D29" s="94" t="s">
        <v>42</v>
      </c>
      <c r="E29" s="116" t="s">
        <v>43</v>
      </c>
      <c r="F29" s="99">
        <f>'[1]Д3'!T24</f>
        <v>0.09897208747174703</v>
      </c>
      <c r="G29" s="101">
        <f t="shared" si="0"/>
        <v>23.01676452831326</v>
      </c>
      <c r="H29" s="101">
        <f>'[1]Д4'!G25*'[1]Д4'!G56/'[1]Д4'!G53</f>
        <v>0.0061485791556746315</v>
      </c>
      <c r="I29" s="101">
        <f t="shared" si="1"/>
        <v>1.4299021292266583</v>
      </c>
      <c r="J29" s="143">
        <f>'[1]Д5'!G20*'[1]Д5'!G42/'[1]Д5'!G39</f>
        <v>9.106343597740036E-05</v>
      </c>
      <c r="K29" s="101">
        <f t="shared" si="2"/>
        <v>0.02117754325055822</v>
      </c>
      <c r="L29" s="102">
        <f t="shared" si="4"/>
        <v>0.10521173006339905</v>
      </c>
      <c r="M29" s="102">
        <f t="shared" si="3"/>
        <v>24.467844200790474</v>
      </c>
    </row>
    <row r="30" spans="4:13" ht="46.5" customHeight="1">
      <c r="D30" s="106" t="s">
        <v>44</v>
      </c>
      <c r="E30" s="114" t="s">
        <v>38</v>
      </c>
      <c r="F30" s="112">
        <f>'[1]Д3'!T25+'[1]Д3'!T26</f>
        <v>0.09301922474856311</v>
      </c>
      <c r="G30" s="110">
        <f t="shared" si="0"/>
        <v>21.632377848503047</v>
      </c>
      <c r="H30" s="110">
        <f>('[1]Д4'!G26+'[1]Д4'!G27)*'[1]Д4'!G56/'[1]Д4'!G53</f>
        <v>0.005778761191255827</v>
      </c>
      <c r="I30" s="110">
        <f t="shared" si="1"/>
        <v>1.3438979514548433</v>
      </c>
      <c r="J30" s="144">
        <f>('[1]Д5'!G21+'[1]Д5'!G22)*'[1]Д5'!G42/'[1]Д5'!G39</f>
        <v>8.558609671593075E-05</v>
      </c>
      <c r="K30" s="110">
        <f t="shared" si="2"/>
        <v>0.019903743422309474</v>
      </c>
      <c r="L30" s="111">
        <f t="shared" si="4"/>
        <v>0.09888357203653486</v>
      </c>
      <c r="M30" s="111">
        <f t="shared" si="3"/>
        <v>22.996179543380197</v>
      </c>
    </row>
    <row r="31" spans="4:13" ht="22.5">
      <c r="D31" s="106" t="s">
        <v>45</v>
      </c>
      <c r="E31" s="136" t="s">
        <v>32</v>
      </c>
      <c r="F31" s="112">
        <f>'[3]10 (3)'!$W$17*'[1]Д3'!T43/'[1]Д3'!H43</f>
        <v>0.0002962658202979661</v>
      </c>
      <c r="G31" s="110">
        <f t="shared" si="0"/>
        <v>0.06889902797627116</v>
      </c>
      <c r="H31" s="110">
        <f>'[3]10 (3)'!$X$17*'[1]Д4'!G56/'[1]Д4'!G53</f>
        <v>1.8403143327521306E-05</v>
      </c>
      <c r="I31" s="110">
        <f t="shared" si="1"/>
        <v>0.004279800773842163</v>
      </c>
      <c r="J31" s="110">
        <f>'[3]10 (3)'!$Y$17*'[1]Д5'!G42/'[1]Д5'!G39</f>
        <v>2.725863441890053E-07</v>
      </c>
      <c r="K31" s="110">
        <f t="shared" si="2"/>
        <v>6.339217306721052E-05</v>
      </c>
      <c r="L31" s="111">
        <f t="shared" si="4"/>
        <v>0.0003149415499696764</v>
      </c>
      <c r="M31" s="111">
        <f t="shared" si="3"/>
        <v>0.07324222092318054</v>
      </c>
    </row>
    <row r="32" spans="4:13" ht="22.5">
      <c r="D32" s="106" t="s">
        <v>46</v>
      </c>
      <c r="E32" s="136" t="s">
        <v>41</v>
      </c>
      <c r="F32" s="112">
        <f>F29-F30-F31</f>
        <v>0.0056565969028859525</v>
      </c>
      <c r="G32" s="110">
        <f t="shared" si="0"/>
        <v>1.3154876518339422</v>
      </c>
      <c r="H32" s="110">
        <f>H29-H30-H31</f>
        <v>0.00035141482109128365</v>
      </c>
      <c r="I32" s="110">
        <f t="shared" si="1"/>
        <v>0.08172437699797293</v>
      </c>
      <c r="J32" s="110">
        <f>J29-J30-J31</f>
        <v>5.204752917280608E-06</v>
      </c>
      <c r="K32" s="110">
        <f t="shared" si="2"/>
        <v>0.0012104076551815366</v>
      </c>
      <c r="L32" s="111">
        <f t="shared" si="4"/>
        <v>0.006013216476894517</v>
      </c>
      <c r="M32" s="111">
        <f t="shared" si="3"/>
        <v>1.3984224364870967</v>
      </c>
    </row>
    <row r="33" spans="4:13" ht="21.75">
      <c r="D33" s="94">
        <v>3</v>
      </c>
      <c r="E33" s="137" t="s">
        <v>47</v>
      </c>
      <c r="F33" s="101">
        <v>0</v>
      </c>
      <c r="G33" s="101">
        <f t="shared" si="0"/>
        <v>0</v>
      </c>
      <c r="H33" s="101">
        <v>0</v>
      </c>
      <c r="I33" s="101">
        <f t="shared" si="1"/>
        <v>0</v>
      </c>
      <c r="J33" s="101">
        <v>0</v>
      </c>
      <c r="K33" s="101">
        <f t="shared" si="2"/>
        <v>0</v>
      </c>
      <c r="L33" s="102">
        <f t="shared" si="4"/>
        <v>0</v>
      </c>
      <c r="M33" s="102">
        <f t="shared" si="3"/>
        <v>0</v>
      </c>
    </row>
    <row r="34" spans="4:13" ht="27" customHeight="1">
      <c r="D34" s="94">
        <v>4</v>
      </c>
      <c r="E34" s="137" t="s">
        <v>48</v>
      </c>
      <c r="F34" s="139">
        <v>0</v>
      </c>
      <c r="G34" s="139">
        <f t="shared" si="0"/>
        <v>0</v>
      </c>
      <c r="H34" s="139">
        <v>0</v>
      </c>
      <c r="I34" s="139">
        <f t="shared" si="1"/>
        <v>0</v>
      </c>
      <c r="J34" s="139">
        <v>0</v>
      </c>
      <c r="K34" s="139">
        <f t="shared" si="2"/>
        <v>0</v>
      </c>
      <c r="L34" s="140">
        <f t="shared" si="4"/>
        <v>0</v>
      </c>
      <c r="M34" s="140">
        <f t="shared" si="3"/>
        <v>0</v>
      </c>
    </row>
    <row r="35" spans="4:13" ht="21.75">
      <c r="D35" s="94">
        <v>5</v>
      </c>
      <c r="E35" s="137" t="s">
        <v>49</v>
      </c>
      <c r="F35" s="139">
        <v>0</v>
      </c>
      <c r="G35" s="139">
        <f t="shared" si="0"/>
        <v>0</v>
      </c>
      <c r="H35" s="139">
        <v>0</v>
      </c>
      <c r="I35" s="139">
        <f t="shared" si="1"/>
        <v>0</v>
      </c>
      <c r="J35" s="139">
        <v>0</v>
      </c>
      <c r="K35" s="139">
        <f t="shared" si="2"/>
        <v>0</v>
      </c>
      <c r="L35" s="140">
        <f t="shared" si="4"/>
        <v>0</v>
      </c>
      <c r="M35" s="140">
        <f t="shared" si="3"/>
        <v>0</v>
      </c>
    </row>
    <row r="36" spans="4:13" ht="21.75">
      <c r="D36" s="94">
        <v>6</v>
      </c>
      <c r="E36" s="137" t="s">
        <v>50</v>
      </c>
      <c r="F36" s="138">
        <f>F12+F29</f>
        <v>3.2790382398600944</v>
      </c>
      <c r="G36" s="139">
        <f>ROUND(F36/$F$45*1000,2)</f>
        <v>762.57</v>
      </c>
      <c r="H36" s="138">
        <f>H12+H29</f>
        <v>0.327356698488194</v>
      </c>
      <c r="I36" s="139">
        <f>ROUND(H36/$F$45*1000,2)</f>
        <v>76.13</v>
      </c>
      <c r="J36" s="141">
        <f>J12+J29</f>
        <v>0.004848302618785879</v>
      </c>
      <c r="K36" s="139">
        <f>ROUND(J36/$F$45*1000,2)</f>
        <v>1.13</v>
      </c>
      <c r="L36" s="140">
        <f t="shared" si="4"/>
        <v>3.6112432409670743</v>
      </c>
      <c r="M36" s="140">
        <f>L36/$L$45*1000+0.01</f>
        <v>839.8340095272265</v>
      </c>
    </row>
    <row r="37" spans="4:13" ht="21.75">
      <c r="D37" s="94">
        <v>7</v>
      </c>
      <c r="E37" s="116" t="s">
        <v>51</v>
      </c>
      <c r="F37" s="104">
        <v>0</v>
      </c>
      <c r="G37" s="104">
        <f t="shared" si="0"/>
        <v>0</v>
      </c>
      <c r="H37" s="104">
        <v>0</v>
      </c>
      <c r="I37" s="104">
        <f t="shared" si="1"/>
        <v>0</v>
      </c>
      <c r="J37" s="104">
        <v>0</v>
      </c>
      <c r="K37" s="104">
        <f t="shared" si="2"/>
        <v>0</v>
      </c>
      <c r="L37" s="105">
        <f t="shared" si="4"/>
        <v>0</v>
      </c>
      <c r="M37" s="105">
        <f t="shared" si="3"/>
        <v>0</v>
      </c>
    </row>
    <row r="38" spans="4:13" ht="24.75" customHeight="1">
      <c r="D38" s="94">
        <v>8</v>
      </c>
      <c r="E38" s="98" t="s">
        <v>52</v>
      </c>
      <c r="F38" s="103">
        <f>SUM(F39:F42)</f>
        <v>0</v>
      </c>
      <c r="G38" s="104">
        <f>F38/F45*1000</f>
        <v>0</v>
      </c>
      <c r="H38" s="145">
        <f>SUM(H40:H42)</f>
        <v>0</v>
      </c>
      <c r="I38" s="104">
        <f t="shared" si="1"/>
        <v>0</v>
      </c>
      <c r="J38" s="145">
        <f>SUM(J40:J42)</f>
        <v>0</v>
      </c>
      <c r="K38" s="104">
        <f>K41</f>
        <v>0</v>
      </c>
      <c r="L38" s="105">
        <f t="shared" si="4"/>
        <v>0</v>
      </c>
      <c r="M38" s="105">
        <f t="shared" si="3"/>
        <v>0</v>
      </c>
    </row>
    <row r="39" spans="4:13" ht="22.5">
      <c r="D39" s="106" t="s">
        <v>53</v>
      </c>
      <c r="E39" s="114" t="s">
        <v>54</v>
      </c>
      <c r="F39" s="108">
        <f>'[1]Д3'!T36</f>
        <v>0</v>
      </c>
      <c r="G39" s="109">
        <f t="shared" si="0"/>
        <v>0</v>
      </c>
      <c r="H39" s="109">
        <f>'[1]5_Розрахунок тарифів'!Q21/1000</f>
        <v>0</v>
      </c>
      <c r="I39" s="109">
        <f t="shared" si="1"/>
        <v>0</v>
      </c>
      <c r="J39" s="109">
        <f>'[1]5_Розрахунок тарифів'!V21/1000</f>
        <v>0</v>
      </c>
      <c r="K39" s="109">
        <f t="shared" si="2"/>
        <v>0</v>
      </c>
      <c r="L39" s="113">
        <f t="shared" si="4"/>
        <v>0</v>
      </c>
      <c r="M39" s="113">
        <f t="shared" si="3"/>
        <v>0</v>
      </c>
    </row>
    <row r="40" spans="4:13" ht="45">
      <c r="D40" s="106" t="s">
        <v>55</v>
      </c>
      <c r="E40" s="114" t="s">
        <v>56</v>
      </c>
      <c r="F40" s="109">
        <v>0</v>
      </c>
      <c r="G40" s="109">
        <f t="shared" si="0"/>
        <v>0</v>
      </c>
      <c r="H40" s="109">
        <v>0</v>
      </c>
      <c r="I40" s="109">
        <f t="shared" si="1"/>
        <v>0</v>
      </c>
      <c r="J40" s="109">
        <v>0</v>
      </c>
      <c r="K40" s="109">
        <f t="shared" si="2"/>
        <v>0</v>
      </c>
      <c r="L40" s="113">
        <f t="shared" si="4"/>
        <v>0</v>
      </c>
      <c r="M40" s="113">
        <f t="shared" si="3"/>
        <v>0</v>
      </c>
    </row>
    <row r="41" spans="4:13" ht="45">
      <c r="D41" s="106" t="s">
        <v>57</v>
      </c>
      <c r="E41" s="114" t="s">
        <v>58</v>
      </c>
      <c r="F41" s="108">
        <f>'[1]Д3'!T39</f>
        <v>0</v>
      </c>
      <c r="G41" s="109">
        <f t="shared" si="0"/>
        <v>0</v>
      </c>
      <c r="H41" s="109">
        <f>'[1]5_Розрахунок тарифів'!Q17/1000</f>
        <v>0</v>
      </c>
      <c r="I41" s="109">
        <f t="shared" si="1"/>
        <v>0</v>
      </c>
      <c r="J41" s="109">
        <f>'[1]5_Розрахунок тарифів'!V17</f>
        <v>0</v>
      </c>
      <c r="K41" s="109">
        <f t="shared" si="2"/>
        <v>0</v>
      </c>
      <c r="L41" s="113">
        <f t="shared" si="4"/>
        <v>0</v>
      </c>
      <c r="M41" s="113">
        <f t="shared" si="3"/>
        <v>0</v>
      </c>
    </row>
    <row r="42" spans="4:13" ht="67.5">
      <c r="D42" s="106" t="s">
        <v>59</v>
      </c>
      <c r="E42" s="114" t="s">
        <v>60</v>
      </c>
      <c r="F42" s="109">
        <v>0</v>
      </c>
      <c r="G42" s="109">
        <f t="shared" si="0"/>
        <v>0</v>
      </c>
      <c r="H42" s="109">
        <v>0</v>
      </c>
      <c r="I42" s="109">
        <f t="shared" si="1"/>
        <v>0</v>
      </c>
      <c r="J42" s="109">
        <v>0</v>
      </c>
      <c r="K42" s="109">
        <f t="shared" si="2"/>
        <v>0</v>
      </c>
      <c r="L42" s="113">
        <f t="shared" si="4"/>
        <v>0</v>
      </c>
      <c r="M42" s="113">
        <f t="shared" si="3"/>
        <v>0</v>
      </c>
    </row>
    <row r="43" spans="4:13" ht="43.5">
      <c r="D43" s="94">
        <v>9</v>
      </c>
      <c r="E43" s="116" t="s">
        <v>61</v>
      </c>
      <c r="F43" s="103">
        <f>F36+F37+F38</f>
        <v>3.2790382398600944</v>
      </c>
      <c r="G43" s="103">
        <f>G36+G37+G38</f>
        <v>762.57</v>
      </c>
      <c r="H43" s="103">
        <f>H36+H37+H38</f>
        <v>0.327356698488194</v>
      </c>
      <c r="I43" s="104">
        <f t="shared" si="1"/>
        <v>76.12946476469625</v>
      </c>
      <c r="J43" s="103">
        <f>J36+J37+J38</f>
        <v>0.004848302618785879</v>
      </c>
      <c r="K43" s="104">
        <f t="shared" si="2"/>
        <v>1.1275122369269484</v>
      </c>
      <c r="L43" s="105">
        <f t="shared" si="4"/>
        <v>3.6112432409670743</v>
      </c>
      <c r="M43" s="105">
        <f>G43+I43+K43</f>
        <v>839.8269770016233</v>
      </c>
    </row>
    <row r="44" spans="4:13" ht="43.5">
      <c r="D44" s="94">
        <v>10</v>
      </c>
      <c r="E44" s="116" t="s">
        <v>62</v>
      </c>
      <c r="F44" s="119"/>
      <c r="G44" s="101">
        <f>G43</f>
        <v>762.57</v>
      </c>
      <c r="H44" s="117"/>
      <c r="I44" s="101">
        <f>I43</f>
        <v>76.12946476469625</v>
      </c>
      <c r="J44" s="117"/>
      <c r="K44" s="101">
        <f>K43</f>
        <v>1.1275122369269484</v>
      </c>
      <c r="L44" s="102"/>
      <c r="M44" s="102">
        <f>M43</f>
        <v>839.8269770016233</v>
      </c>
    </row>
    <row r="45" spans="4:13" ht="43.5">
      <c r="D45" s="94">
        <v>11</v>
      </c>
      <c r="E45" s="137" t="s">
        <v>63</v>
      </c>
      <c r="F45" s="146">
        <f>'[1]Д3'!T43</f>
        <v>4.300000000000001</v>
      </c>
      <c r="G45" s="117"/>
      <c r="H45" s="147">
        <f>F45</f>
        <v>4.300000000000001</v>
      </c>
      <c r="I45" s="117"/>
      <c r="J45" s="147">
        <f>H45</f>
        <v>4.300000000000001</v>
      </c>
      <c r="K45" s="117"/>
      <c r="L45" s="128">
        <f>J45</f>
        <v>4.300000000000001</v>
      </c>
      <c r="M45" s="102"/>
    </row>
    <row r="46" spans="4:13" ht="21.75">
      <c r="D46" s="119">
        <v>12</v>
      </c>
      <c r="E46" s="98" t="s">
        <v>64</v>
      </c>
      <c r="F46" s="119"/>
      <c r="G46" s="129">
        <f>G38/G36*100</f>
        <v>0</v>
      </c>
      <c r="H46" s="98"/>
      <c r="I46" s="129">
        <f>I38/I36*100</f>
        <v>0</v>
      </c>
      <c r="J46" s="98"/>
      <c r="K46" s="129">
        <f>K38/K36*100</f>
        <v>0</v>
      </c>
      <c r="L46" s="104"/>
      <c r="M46" s="129">
        <f>M38/M36*100</f>
        <v>0</v>
      </c>
    </row>
    <row r="47" spans="4:13" ht="21.75">
      <c r="D47" s="219"/>
      <c r="E47" s="219"/>
      <c r="F47" s="219"/>
      <c r="G47" s="219"/>
      <c r="H47" s="219"/>
      <c r="I47" s="219"/>
      <c r="J47" s="219"/>
      <c r="K47" s="219"/>
      <c r="L47" s="219"/>
      <c r="M47" s="130"/>
    </row>
    <row r="48" spans="4:13" ht="22.5">
      <c r="D48" s="91"/>
      <c r="E48" s="131" t="s">
        <v>140</v>
      </c>
      <c r="F48" s="131"/>
      <c r="G48" s="131"/>
      <c r="H48" s="131"/>
      <c r="I48" s="131"/>
      <c r="J48" s="131"/>
      <c r="K48" s="131" t="s">
        <v>141</v>
      </c>
      <c r="L48" s="131"/>
      <c r="M48" s="91"/>
    </row>
    <row r="49" spans="4:13" ht="22.5">
      <c r="D49" s="91"/>
      <c r="E49" s="131"/>
      <c r="F49" s="131"/>
      <c r="G49" s="131"/>
      <c r="H49" s="131"/>
      <c r="I49" s="131"/>
      <c r="J49" s="131"/>
      <c r="K49" s="131"/>
      <c r="L49" s="131"/>
      <c r="M49" s="91"/>
    </row>
    <row r="50" spans="4:13" ht="22.5">
      <c r="D50" s="91"/>
      <c r="E50" s="131" t="s">
        <v>142</v>
      </c>
      <c r="F50" s="131"/>
      <c r="G50" s="131"/>
      <c r="H50" s="131"/>
      <c r="I50" s="131"/>
      <c r="J50" s="131"/>
      <c r="K50" s="131" t="s">
        <v>143</v>
      </c>
      <c r="L50" s="131"/>
      <c r="M50" s="91"/>
    </row>
    <row r="51" spans="4:13" ht="21.75">
      <c r="D51" s="91"/>
      <c r="E51" s="91"/>
      <c r="F51" s="91"/>
      <c r="G51" s="91"/>
      <c r="H51" s="91"/>
      <c r="I51" s="91"/>
      <c r="J51" s="91"/>
      <c r="K51" s="91"/>
      <c r="L51" s="91"/>
      <c r="M51" s="91"/>
    </row>
  </sheetData>
  <sheetProtection/>
  <mergeCells count="10">
    <mergeCell ref="D47:L47"/>
    <mergeCell ref="D5:M5"/>
    <mergeCell ref="D6:M6"/>
    <mergeCell ref="D7:M7"/>
    <mergeCell ref="D9:D10"/>
    <mergeCell ref="E9:E10"/>
    <mergeCell ref="F9:G9"/>
    <mergeCell ref="H9:I9"/>
    <mergeCell ref="J9:K9"/>
    <mergeCell ref="L9:M9"/>
  </mergeCells>
  <conditionalFormatting sqref="L12:M44">
    <cfRule type="containsText" priority="1" dxfId="0" operator="containsText" stopIfTrue="1" text="Додаток2">
      <formula>NOT(ISERROR(SEARCH("Додаток2",L12)))</formula>
    </cfRule>
    <cfRule type="containsText" priority="2" dxfId="0" operator="containsText" stopIfTrue="1" text="Додаток2">
      <formula>NOT(ISERROR(SEARCH("Додаток2",L12)))</formula>
    </cfRule>
  </conditionalFormatting>
  <printOptions/>
  <pageMargins left="0.7" right="0.7" top="0.75" bottom="0.75" header="0.3" footer="0.3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Петрик </cp:lastModifiedBy>
  <cp:lastPrinted>2017-09-28T07:34:16Z</cp:lastPrinted>
  <dcterms:created xsi:type="dcterms:W3CDTF">2017-08-21T11:38:46Z</dcterms:created>
  <dcterms:modified xsi:type="dcterms:W3CDTF">2017-10-05T13:21:40Z</dcterms:modified>
  <cp:category/>
  <cp:version/>
  <cp:contentType/>
  <cp:contentStatus/>
</cp:coreProperties>
</file>